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185" activeTab="1"/>
  </bookViews>
  <sheets>
    <sheet name="Metodo Promedio" sheetId="1" r:id="rId1"/>
    <sheet name="Metodo PEPS" sheetId="2" r:id="rId2"/>
    <sheet name="Metodo UEPS" sheetId="3" r:id="rId3"/>
    <sheet name="Comparación" sheetId="4" r:id="rId4"/>
  </sheets>
  <definedNames/>
  <calcPr fullCalcOnLoad="1"/>
</workbook>
</file>

<file path=xl/sharedStrings.xml><?xml version="1.0" encoding="utf-8"?>
<sst xmlns="http://schemas.openxmlformats.org/spreadsheetml/2006/main" count="270" uniqueCount="58">
  <si>
    <t>FECHA</t>
  </si>
  <si>
    <t>DETALLE</t>
  </si>
  <si>
    <t>ENTRADAS</t>
  </si>
  <si>
    <t>SALIDAS</t>
  </si>
  <si>
    <t>SALDOS</t>
  </si>
  <si>
    <t>CANT.</t>
  </si>
  <si>
    <t>COMPROBACIÓN:</t>
  </si>
  <si>
    <t>INV. INICIAL</t>
  </si>
  <si>
    <t>(-) INV FINAL</t>
  </si>
  <si>
    <t>(=) COSTO DE VENTAS</t>
  </si>
  <si>
    <t>LIBRO DE ALMACEN O KARDEX-VALORADO</t>
  </si>
  <si>
    <t>ITEM</t>
  </si>
  <si>
    <t>P.U.</t>
  </si>
  <si>
    <t>P.T.</t>
  </si>
  <si>
    <t>DOCUMENTO</t>
  </si>
  <si>
    <t>GUIA</t>
  </si>
  <si>
    <t>FACTURA</t>
  </si>
  <si>
    <t>Compra a Proveedor "Satipo S.A."</t>
  </si>
  <si>
    <t>Compra a Proveedor "Napos S.A."</t>
  </si>
  <si>
    <t>Compra a Proveedor "Olinis S.A."</t>
  </si>
  <si>
    <t>Compra a Proveedor "Setcito S.A."</t>
  </si>
  <si>
    <t>(+) COMPRAS</t>
  </si>
  <si>
    <t>PEPS</t>
  </si>
  <si>
    <t>UEPS</t>
  </si>
  <si>
    <t>Conceptos</t>
  </si>
  <si>
    <t>PROMEDIO</t>
  </si>
  <si>
    <t>SALDO INICIAL AL MES DE ENERO 2009</t>
  </si>
  <si>
    <t>Ventas a la fecha</t>
  </si>
  <si>
    <t>Compra a Proveedor "Sante Fe S.A."</t>
  </si>
  <si>
    <t>001-005</t>
  </si>
  <si>
    <t>001-0225</t>
  </si>
  <si>
    <t>001-266</t>
  </si>
  <si>
    <t>123-2515</t>
  </si>
  <si>
    <t>----</t>
  </si>
  <si>
    <t>021-455</t>
  </si>
  <si>
    <t>123-455</t>
  </si>
  <si>
    <t>123-045</t>
  </si>
  <si>
    <t>054-012</t>
  </si>
  <si>
    <t>322-166</t>
  </si>
  <si>
    <t>156-626</t>
  </si>
  <si>
    <t>125-651</t>
  </si>
  <si>
    <t>656-155</t>
  </si>
  <si>
    <t>002-622</t>
  </si>
  <si>
    <t>005-656</t>
  </si>
  <si>
    <t>T-O-T-A-L-E-S</t>
  </si>
  <si>
    <t>METODO DE VALUACION - PEPS (FIFO)</t>
  </si>
  <si>
    <t>001-110</t>
  </si>
  <si>
    <t>Devolucion por parte de cliente</t>
  </si>
  <si>
    <t>Devolucion de mercaderia dañada</t>
  </si>
  <si>
    <t>DIFERENCIA</t>
  </si>
  <si>
    <t>MOVIMIENTOS</t>
  </si>
  <si>
    <t>------------------------------------- TOTAL ENTRADAS -----------------------------------</t>
  </si>
  <si>
    <t>------------------------------------- TOTAL SALIDAS -----------------------------------</t>
  </si>
  <si>
    <t>METODO DE VALUACION - UEPS (LIFO)</t>
  </si>
  <si>
    <t>CUADRO COMPARATIVO - METODOS DE VALUACION</t>
  </si>
  <si>
    <t>CUADRO RESUMEN</t>
  </si>
  <si>
    <t xml:space="preserve">  METODOS DE VALUACION - COMPARACION</t>
  </si>
  <si>
    <t xml:space="preserve">      METODO DE VALUACION - PROMEDIO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</si>
</sst>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00#\ ?/?"/>
    <numFmt numFmtId="193" formatCode="000"/>
    <numFmt numFmtId="194" formatCode="_ * #,##0.0000_ ;_ * \-#,##0.0000_ ;_ * &quot;-&quot;????_ ;_ @_ "/>
    <numFmt numFmtId="195" formatCode="_ * #,##0.000_ ;_ * \-#,##0.000_ ;_ * &quot;-&quot;??_ ;_ @_ "/>
    <numFmt numFmtId="196" formatCode="_ * #,##0.0000_ ;_ * \-#,##0.0000_ ;_ * &quot;-&quot;??_ ;_ @_ "/>
    <numFmt numFmtId="197" formatCode="_ * #,##0.000_ ;_ * \-#,##0.000_ ;_ * &quot;-&quot;????_ ;_ @_ "/>
    <numFmt numFmtId="198" formatCode="_ * #,##0.00_ ;_ * \-#,##0.00_ ;_ * &quot;-&quot;????_ ;_ @_ "/>
    <numFmt numFmtId="199" formatCode="[$-40A]dddd\,\ dd&quot; de &quot;mmmm&quot; de &quot;yyyy"/>
    <numFmt numFmtId="200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 Black"/>
      <family val="2"/>
    </font>
    <font>
      <b/>
      <sz val="10"/>
      <color indexed="9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8"/>
      <color indexed="9"/>
      <name val="Arno Pro Smbd Caption"/>
      <family val="1"/>
    </font>
    <font>
      <b/>
      <sz val="20"/>
      <color indexed="9"/>
      <name val="Arial Black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 Black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rgb="FF002060"/>
      <name val="Calibri"/>
      <family val="2"/>
    </font>
    <font>
      <b/>
      <sz val="18"/>
      <color theme="0"/>
      <name val="Arno Pro Smbd Caption"/>
      <family val="1"/>
    </font>
    <font>
      <b/>
      <sz val="20"/>
      <color theme="0"/>
      <name val="Arial Black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>
        <color indexed="63"/>
      </right>
      <top style="thick">
        <color theme="0"/>
      </top>
      <bottom style="thin"/>
    </border>
    <border>
      <left>
        <color indexed="63"/>
      </left>
      <right>
        <color indexed="63"/>
      </right>
      <top style="thick">
        <color theme="0"/>
      </top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medium"/>
      <top style="thin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ck"/>
      <bottom style="thin"/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</border>
    <border>
      <left style="thin">
        <color theme="0"/>
      </left>
      <right style="thin"/>
      <top style="thick">
        <color theme="0"/>
      </top>
      <bottom style="thick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/>
      </right>
      <top style="thick">
        <color theme="0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 style="medium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 style="thin"/>
      <right style="thin">
        <color theme="0"/>
      </right>
      <top style="thick">
        <color theme="0"/>
      </top>
      <bottom style="thick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9" fontId="2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9" fontId="0" fillId="0" borderId="11" xfId="0" applyNumberFormat="1" applyBorder="1" applyAlignment="1">
      <alignment/>
    </xf>
    <xf numFmtId="0" fontId="52" fillId="33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/>
    </xf>
    <xf numFmtId="16" fontId="38" fillId="33" borderId="14" xfId="0" applyNumberFormat="1" applyFont="1" applyFill="1" applyBorder="1" applyAlignment="1">
      <alignment horizontal="center"/>
    </xf>
    <xf numFmtId="179" fontId="35" fillId="33" borderId="14" xfId="0" applyNumberFormat="1" applyFont="1" applyFill="1" applyBorder="1" applyAlignment="1">
      <alignment/>
    </xf>
    <xf numFmtId="177" fontId="0" fillId="0" borderId="10" xfId="0" applyNumberFormat="1" applyBorder="1" applyAlignment="1">
      <alignment vertical="center"/>
    </xf>
    <xf numFmtId="177" fontId="35" fillId="33" borderId="14" xfId="0" applyNumberFormat="1" applyFont="1" applyFill="1" applyBorder="1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/>
    </xf>
    <xf numFmtId="179" fontId="0" fillId="0" borderId="15" xfId="0" applyNumberFormat="1" applyBorder="1" applyAlignment="1">
      <alignment/>
    </xf>
    <xf numFmtId="0" fontId="50" fillId="0" borderId="16" xfId="0" applyFont="1" applyBorder="1" applyAlignment="1">
      <alignment horizontal="center"/>
    </xf>
    <xf numFmtId="177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9" fontId="2" fillId="34" borderId="10" xfId="0" applyNumberFormat="1" applyFont="1" applyFill="1" applyBorder="1" applyAlignment="1">
      <alignment horizontal="center" vertical="center" wrapText="1"/>
    </xf>
    <xf numFmtId="179" fontId="5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9" fontId="54" fillId="0" borderId="10" xfId="0" applyNumberFormat="1" applyFont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179" fontId="5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179" fontId="50" fillId="35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9" fontId="54" fillId="0" borderId="10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179" fontId="0" fillId="0" borderId="18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179" fontId="54" fillId="0" borderId="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6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179" fontId="0" fillId="0" borderId="19" xfId="0" applyNumberForma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8" fillId="33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179" fontId="38" fillId="33" borderId="23" xfId="0" applyNumberFormat="1" applyFont="1" applyFill="1" applyBorder="1" applyAlignment="1">
      <alignment/>
    </xf>
    <xf numFmtId="177" fontId="27" fillId="0" borderId="10" xfId="0" applyNumberFormat="1" applyFont="1" applyFill="1" applyBorder="1" applyAlignment="1">
      <alignment vertical="center"/>
    </xf>
    <xf numFmtId="179" fontId="27" fillId="0" borderId="10" xfId="0" applyNumberFormat="1" applyFont="1" applyFill="1" applyBorder="1" applyAlignment="1">
      <alignment/>
    </xf>
    <xf numFmtId="179" fontId="27" fillId="0" borderId="10" xfId="0" applyNumberFormat="1" applyFont="1" applyFill="1" applyBorder="1" applyAlignment="1">
      <alignment horizontal="center"/>
    </xf>
    <xf numFmtId="179" fontId="27" fillId="0" borderId="10" xfId="0" applyNumberFormat="1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179" fontId="54" fillId="0" borderId="0" xfId="0" applyNumberFormat="1" applyFont="1" applyFill="1" applyBorder="1" applyAlignment="1">
      <alignment/>
    </xf>
    <xf numFmtId="0" fontId="53" fillId="33" borderId="29" xfId="0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179" fontId="50" fillId="0" borderId="30" xfId="0" applyNumberFormat="1" applyFont="1" applyBorder="1" applyAlignment="1">
      <alignment/>
    </xf>
    <xf numFmtId="177" fontId="27" fillId="0" borderId="19" xfId="0" applyNumberFormat="1" applyFont="1" applyFill="1" applyBorder="1" applyAlignment="1">
      <alignment vertical="center"/>
    </xf>
    <xf numFmtId="179" fontId="27" fillId="0" borderId="19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7" fontId="28" fillId="0" borderId="30" xfId="0" applyNumberFormat="1" applyFont="1" applyFill="1" applyBorder="1" applyAlignment="1">
      <alignment vertical="center"/>
    </xf>
    <xf numFmtId="179" fontId="28" fillId="0" borderId="3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6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179" fontId="38" fillId="33" borderId="10" xfId="0" applyNumberFormat="1" applyFont="1" applyFill="1" applyBorder="1" applyAlignment="1">
      <alignment/>
    </xf>
    <xf numFmtId="0" fontId="53" fillId="33" borderId="31" xfId="0" applyFont="1" applyFill="1" applyBorder="1" applyAlignment="1">
      <alignment horizontal="center" vertical="center" wrapText="1"/>
    </xf>
    <xf numFmtId="179" fontId="50" fillId="0" borderId="11" xfId="0" applyNumberFormat="1" applyFont="1" applyBorder="1" applyAlignment="1">
      <alignment/>
    </xf>
    <xf numFmtId="179" fontId="28" fillId="0" borderId="11" xfId="0" applyNumberFormat="1" applyFont="1" applyFill="1" applyBorder="1" applyAlignment="1">
      <alignment horizontal="center"/>
    </xf>
    <xf numFmtId="179" fontId="28" fillId="34" borderId="11" xfId="0" applyNumberFormat="1" applyFont="1" applyFill="1" applyBorder="1" applyAlignment="1">
      <alignment/>
    </xf>
    <xf numFmtId="177" fontId="28" fillId="0" borderId="11" xfId="0" applyNumberFormat="1" applyFont="1" applyFill="1" applyBorder="1" applyAlignment="1">
      <alignment vertical="center"/>
    </xf>
    <xf numFmtId="179" fontId="28" fillId="0" borderId="11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32" xfId="0" applyBorder="1" applyAlignment="1">
      <alignment horizontal="center" vertical="center"/>
    </xf>
    <xf numFmtId="179" fontId="27" fillId="0" borderId="32" xfId="0" applyNumberFormat="1" applyFont="1" applyFill="1" applyBorder="1" applyAlignment="1">
      <alignment horizontal="center"/>
    </xf>
    <xf numFmtId="179" fontId="27" fillId="0" borderId="32" xfId="0" applyNumberFormat="1" applyFont="1" applyFill="1" applyBorder="1" applyAlignment="1">
      <alignment/>
    </xf>
    <xf numFmtId="177" fontId="27" fillId="0" borderId="32" xfId="0" applyNumberFormat="1" applyFont="1" applyFill="1" applyBorder="1" applyAlignment="1">
      <alignment vertical="center"/>
    </xf>
    <xf numFmtId="179" fontId="27" fillId="0" borderId="32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179" fontId="38" fillId="33" borderId="35" xfId="0" applyNumberFormat="1" applyFont="1" applyFill="1" applyBorder="1" applyAlignment="1">
      <alignment/>
    </xf>
    <xf numFmtId="179" fontId="38" fillId="33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8" fillId="33" borderId="37" xfId="0" applyFont="1" applyFill="1" applyBorder="1" applyAlignment="1">
      <alignment/>
    </xf>
    <xf numFmtId="179" fontId="28" fillId="0" borderId="10" xfId="0" applyNumberFormat="1" applyFont="1" applyFill="1" applyBorder="1" applyAlignment="1">
      <alignment horizontal="center"/>
    </xf>
    <xf numFmtId="179" fontId="28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79" fontId="27" fillId="0" borderId="19" xfId="0" applyNumberFormat="1" applyFont="1" applyFill="1" applyBorder="1" applyAlignment="1">
      <alignment horizontal="center"/>
    </xf>
    <xf numFmtId="179" fontId="27" fillId="0" borderId="19" xfId="0" applyNumberFormat="1" applyFont="1" applyFill="1" applyBorder="1" applyAlignment="1">
      <alignment/>
    </xf>
    <xf numFmtId="0" fontId="44" fillId="0" borderId="0" xfId="52" applyAlignment="1" applyProtection="1">
      <alignment/>
      <protection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38" fillId="33" borderId="3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right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8" fillId="33" borderId="4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179" fontId="6" fillId="34" borderId="10" xfId="0" applyNumberFormat="1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center"/>
    </xf>
    <xf numFmtId="0" fontId="50" fillId="0" borderId="11" xfId="0" applyFont="1" applyBorder="1" applyAlignment="1">
      <alignment horizontal="center"/>
    </xf>
    <xf numFmtId="0" fontId="50" fillId="0" borderId="30" xfId="0" applyFont="1" applyBorder="1" applyAlignment="1" quotePrefix="1">
      <alignment horizontal="center"/>
    </xf>
    <xf numFmtId="0" fontId="50" fillId="0" borderId="30" xfId="0" applyFont="1" applyBorder="1" applyAlignment="1">
      <alignment horizontal="center"/>
    </xf>
    <xf numFmtId="0" fontId="38" fillId="33" borderId="46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179" fontId="50" fillId="35" borderId="10" xfId="0" applyNumberFormat="1" applyFont="1" applyFill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9" fontId="12" fillId="34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38" fillId="33" borderId="47" xfId="0" applyFont="1" applyFill="1" applyBorder="1" applyAlignment="1">
      <alignment horizontal="left"/>
    </xf>
    <xf numFmtId="0" fontId="38" fillId="33" borderId="48" xfId="0" applyFont="1" applyFill="1" applyBorder="1" applyAlignment="1">
      <alignment horizontal="left"/>
    </xf>
    <xf numFmtId="0" fontId="38" fillId="33" borderId="49" xfId="0" applyFont="1" applyFill="1" applyBorder="1" applyAlignment="1">
      <alignment horizontal="left"/>
    </xf>
    <xf numFmtId="0" fontId="58" fillId="33" borderId="0" xfId="0" applyFont="1" applyFill="1" applyAlignment="1" quotePrefix="1">
      <alignment horizontal="center" vertical="center"/>
    </xf>
    <xf numFmtId="0" fontId="59" fillId="33" borderId="50" xfId="0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38" fillId="33" borderId="51" xfId="0" applyFont="1" applyFill="1" applyBorder="1" applyAlignment="1">
      <alignment horizontal="left"/>
    </xf>
    <xf numFmtId="0" fontId="60" fillId="33" borderId="52" xfId="0" applyFont="1" applyFill="1" applyBorder="1" applyAlignment="1">
      <alignment horizontal="center"/>
    </xf>
    <xf numFmtId="0" fontId="60" fillId="33" borderId="53" xfId="0" applyFont="1" applyFill="1" applyBorder="1" applyAlignment="1">
      <alignment horizontal="center"/>
    </xf>
    <xf numFmtId="0" fontId="60" fillId="33" borderId="5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4">
      <selection activeCell="B6" sqref="B6"/>
    </sheetView>
  </sheetViews>
  <sheetFormatPr defaultColWidth="9.14062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3.140625" style="0" bestFit="1" customWidth="1"/>
    <col min="6" max="6" width="6.57421875" style="0" bestFit="1" customWidth="1"/>
    <col min="7" max="7" width="6.421875" style="0" bestFit="1" customWidth="1"/>
    <col min="8" max="8" width="10.00390625" style="0" bestFit="1" customWidth="1"/>
    <col min="9" max="9" width="6.57421875" style="0" bestFit="1" customWidth="1"/>
    <col min="10" max="10" width="6.421875" style="0" bestFit="1" customWidth="1"/>
    <col min="11" max="11" width="9.8515625" style="0" customWidth="1"/>
    <col min="12" max="12" width="6.57421875" style="0" bestFit="1" customWidth="1"/>
    <col min="13" max="16384" width="11.421875" style="0" customWidth="1"/>
  </cols>
  <sheetData>
    <row r="1" spans="1:14" ht="15" customHeight="1">
      <c r="A1" s="127" t="s">
        <v>57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1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2:14" ht="15">
      <c r="B6" s="119"/>
      <c r="E6" s="120"/>
      <c r="G6" s="128"/>
      <c r="H6" s="128"/>
      <c r="I6" s="128"/>
      <c r="J6" s="128"/>
      <c r="K6" s="128"/>
      <c r="L6" s="128"/>
      <c r="M6" s="128"/>
      <c r="N6" s="128"/>
    </row>
    <row r="7" spans="1:17" ht="23.25">
      <c r="A7" s="126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0"/>
      <c r="P7" s="10"/>
      <c r="Q7" s="10"/>
    </row>
    <row r="9" spans="1:14" ht="15" customHeight="1">
      <c r="A9" s="123" t="s">
        <v>11</v>
      </c>
      <c r="B9" s="125" t="s">
        <v>0</v>
      </c>
      <c r="C9" s="125" t="s">
        <v>14</v>
      </c>
      <c r="D9" s="125"/>
      <c r="E9" s="125" t="s">
        <v>1</v>
      </c>
      <c r="F9" s="125" t="s">
        <v>2</v>
      </c>
      <c r="G9" s="125"/>
      <c r="H9" s="125"/>
      <c r="I9" s="125" t="s">
        <v>3</v>
      </c>
      <c r="J9" s="125"/>
      <c r="K9" s="125"/>
      <c r="L9" s="125" t="s">
        <v>4</v>
      </c>
      <c r="M9" s="125"/>
      <c r="N9" s="132"/>
    </row>
    <row r="10" spans="1:14" ht="15.75" thickBot="1">
      <c r="A10" s="124"/>
      <c r="B10" s="133"/>
      <c r="C10" s="13" t="s">
        <v>15</v>
      </c>
      <c r="D10" s="13" t="s">
        <v>16</v>
      </c>
      <c r="E10" s="133"/>
      <c r="F10" s="13" t="s">
        <v>5</v>
      </c>
      <c r="G10" s="13" t="s">
        <v>12</v>
      </c>
      <c r="H10" s="13" t="s">
        <v>13</v>
      </c>
      <c r="I10" s="13" t="s">
        <v>5</v>
      </c>
      <c r="J10" s="13" t="s">
        <v>12</v>
      </c>
      <c r="K10" s="13" t="s">
        <v>13</v>
      </c>
      <c r="L10" s="13" t="s">
        <v>5</v>
      </c>
      <c r="M10" s="13" t="s">
        <v>12</v>
      </c>
      <c r="N10" s="14" t="s">
        <v>13</v>
      </c>
    </row>
    <row r="11" spans="1:14" ht="15.75" thickTop="1">
      <c r="A11" s="16">
        <v>1</v>
      </c>
      <c r="B11" s="17">
        <v>39814</v>
      </c>
      <c r="C11" s="63" t="s">
        <v>26</v>
      </c>
      <c r="D11" s="64"/>
      <c r="E11" s="64"/>
      <c r="F11" s="64"/>
      <c r="G11" s="64"/>
      <c r="H11" s="64"/>
      <c r="I11" s="64"/>
      <c r="J11" s="64"/>
      <c r="K11" s="112"/>
      <c r="L11" s="20">
        <v>150</v>
      </c>
      <c r="M11" s="18">
        <v>10</v>
      </c>
      <c r="N11" s="18">
        <f>L11*M11</f>
        <v>1500</v>
      </c>
    </row>
    <row r="12" spans="1:14" ht="15">
      <c r="A12" s="7">
        <v>2</v>
      </c>
      <c r="B12" s="12">
        <v>39814</v>
      </c>
      <c r="C12" s="42" t="s">
        <v>29</v>
      </c>
      <c r="D12" s="42" t="s">
        <v>30</v>
      </c>
      <c r="E12" s="35" t="s">
        <v>17</v>
      </c>
      <c r="F12" s="30">
        <v>150</v>
      </c>
      <c r="G12" s="5">
        <v>10.1</v>
      </c>
      <c r="H12" s="5">
        <f>+F12*G12</f>
        <v>1515</v>
      </c>
      <c r="I12" s="30"/>
      <c r="J12" s="5">
        <f>IF(I12&lt;&gt;"",M11,0)</f>
        <v>0</v>
      </c>
      <c r="K12" s="5">
        <f>+I12*J12</f>
        <v>0</v>
      </c>
      <c r="L12" s="19">
        <f>IF(AND(F12=0,I12=0),0,IF(F12&lt;&gt;0,L11+F12,L11-I12))</f>
        <v>300</v>
      </c>
      <c r="M12" s="5">
        <f>IF(AND(F12=0,I12=0),0,IF(F12&lt;&gt;"",(N11+H12)/L12,M11))</f>
        <v>10.05</v>
      </c>
      <c r="N12" s="5">
        <f>+L12*M12</f>
        <v>3015</v>
      </c>
    </row>
    <row r="13" spans="1:14" ht="15">
      <c r="A13" s="7">
        <v>3</v>
      </c>
      <c r="B13" s="12">
        <v>39815</v>
      </c>
      <c r="C13" s="42" t="s">
        <v>31</v>
      </c>
      <c r="D13" s="42" t="s">
        <v>32</v>
      </c>
      <c r="E13" s="35" t="s">
        <v>18</v>
      </c>
      <c r="F13" s="30">
        <v>350</v>
      </c>
      <c r="G13" s="5">
        <v>9.98</v>
      </c>
      <c r="H13" s="5">
        <f>+F13*G13</f>
        <v>3493</v>
      </c>
      <c r="I13" s="30"/>
      <c r="J13" s="5">
        <f aca="true" t="shared" si="0" ref="J13:J28">IF(I13&lt;&gt;"",M12,0)</f>
        <v>0</v>
      </c>
      <c r="K13" s="5">
        <f aca="true" t="shared" si="1" ref="K13:K28">+I13*J13</f>
        <v>0</v>
      </c>
      <c r="L13" s="19">
        <f>IF(AND(F13=0,I13=0),0,IF(F13&lt;&gt;0,L12+F13,L12-I13))</f>
        <v>650</v>
      </c>
      <c r="M13" s="5">
        <f aca="true" t="shared" si="2" ref="M13:M28">IF(AND(F13=0,I13=0),0,IF(F13&lt;&gt;"",(N12+H13)/L13,M12))</f>
        <v>10.012307692307692</v>
      </c>
      <c r="N13" s="5">
        <f>+L13*M13</f>
        <v>6508</v>
      </c>
    </row>
    <row r="14" spans="1:14" ht="15">
      <c r="A14" s="7">
        <v>4</v>
      </c>
      <c r="B14" s="12">
        <v>39820</v>
      </c>
      <c r="C14" s="21" t="s">
        <v>33</v>
      </c>
      <c r="D14" s="21" t="s">
        <v>33</v>
      </c>
      <c r="E14" s="35" t="s">
        <v>27</v>
      </c>
      <c r="F14" s="30"/>
      <c r="G14" s="5"/>
      <c r="H14" s="5">
        <f>+F14*G14</f>
        <v>0</v>
      </c>
      <c r="I14" s="30">
        <v>550</v>
      </c>
      <c r="J14" s="5">
        <f>IF(I14&lt;&gt;"",M13,0)</f>
        <v>10.012307692307692</v>
      </c>
      <c r="K14" s="5">
        <f>+I14*J14</f>
        <v>5506.7692307692305</v>
      </c>
      <c r="L14" s="19">
        <f>IF(AND(F14=0,I14=0),0,IF(F14&lt;&gt;0,L13+F14,L13-I14))</f>
        <v>100</v>
      </c>
      <c r="M14" s="5">
        <f>IF(AND(F14=0,I14=0),0,IF(F14&lt;&gt;"",(N13+H14)/L14,M13))</f>
        <v>10.012307692307692</v>
      </c>
      <c r="N14" s="5">
        <f aca="true" t="shared" si="3" ref="N14:N28">+L14*M14</f>
        <v>1001.2307692307692</v>
      </c>
    </row>
    <row r="15" spans="1:14" ht="15">
      <c r="A15" s="7">
        <v>5</v>
      </c>
      <c r="B15" s="12">
        <v>39821</v>
      </c>
      <c r="C15" s="21" t="s">
        <v>33</v>
      </c>
      <c r="D15" s="21" t="s">
        <v>33</v>
      </c>
      <c r="E15" s="35" t="s">
        <v>47</v>
      </c>
      <c r="F15" s="30"/>
      <c r="G15" s="5"/>
      <c r="H15" s="5"/>
      <c r="I15" s="31">
        <v>-150</v>
      </c>
      <c r="J15" s="34">
        <f>IF(I15&lt;&gt;"",M14,0)</f>
        <v>10.012307692307692</v>
      </c>
      <c r="K15" s="32">
        <f t="shared" si="1"/>
        <v>-1501.8461538461538</v>
      </c>
      <c r="L15" s="19">
        <f>IF(AND(F15=0,I15=0),0,IF(F15&lt;&gt;0,L14+F15,L14-I15))</f>
        <v>250</v>
      </c>
      <c r="M15" s="5">
        <f t="shared" si="2"/>
        <v>10.012307692307692</v>
      </c>
      <c r="N15" s="5">
        <f t="shared" si="3"/>
        <v>2503.076923076923</v>
      </c>
    </row>
    <row r="16" spans="1:14" ht="15">
      <c r="A16" s="7">
        <v>6</v>
      </c>
      <c r="B16" s="12">
        <v>39823</v>
      </c>
      <c r="C16" s="42" t="s">
        <v>34</v>
      </c>
      <c r="D16" s="7" t="s">
        <v>35</v>
      </c>
      <c r="E16" s="35" t="s">
        <v>19</v>
      </c>
      <c r="F16" s="30">
        <v>700</v>
      </c>
      <c r="G16" s="5">
        <v>9.95</v>
      </c>
      <c r="H16" s="5">
        <f aca="true" t="shared" si="4" ref="H16:H28">+F16*G16</f>
        <v>6964.999999999999</v>
      </c>
      <c r="I16" s="30"/>
      <c r="J16" s="5">
        <f>IF(I16&lt;&gt;"",M15,0)</f>
        <v>0</v>
      </c>
      <c r="K16" s="5">
        <f t="shared" si="1"/>
        <v>0</v>
      </c>
      <c r="L16" s="19">
        <f aca="true" t="shared" si="5" ref="L16:L28">IF(AND(F16=0,I16=0),0,IF(F16&lt;&gt;0,L15+F16,L15-I16))</f>
        <v>950</v>
      </c>
      <c r="M16" s="5">
        <f t="shared" si="2"/>
        <v>9.966396761133602</v>
      </c>
      <c r="N16" s="5">
        <f t="shared" si="3"/>
        <v>9468.076923076922</v>
      </c>
    </row>
    <row r="17" spans="1:14" ht="15">
      <c r="A17" s="42">
        <v>7</v>
      </c>
      <c r="B17" s="12">
        <v>39825</v>
      </c>
      <c r="C17" s="21" t="s">
        <v>33</v>
      </c>
      <c r="D17" s="21" t="s">
        <v>33</v>
      </c>
      <c r="E17" s="35" t="s">
        <v>27</v>
      </c>
      <c r="F17" s="30"/>
      <c r="G17" s="5"/>
      <c r="H17" s="5">
        <f t="shared" si="4"/>
        <v>0</v>
      </c>
      <c r="I17" s="30">
        <v>300</v>
      </c>
      <c r="J17" s="5">
        <f t="shared" si="0"/>
        <v>9.966396761133602</v>
      </c>
      <c r="K17" s="5">
        <f t="shared" si="1"/>
        <v>2989.919028340081</v>
      </c>
      <c r="L17" s="19">
        <f t="shared" si="5"/>
        <v>650</v>
      </c>
      <c r="M17" s="5">
        <f t="shared" si="2"/>
        <v>9.966396761133602</v>
      </c>
      <c r="N17" s="5">
        <f t="shared" si="3"/>
        <v>6478.157894736842</v>
      </c>
    </row>
    <row r="18" spans="1:14" ht="15">
      <c r="A18" s="42">
        <v>8</v>
      </c>
      <c r="B18" s="12">
        <v>39828</v>
      </c>
      <c r="C18" s="21" t="s">
        <v>33</v>
      </c>
      <c r="D18" s="21" t="s">
        <v>33</v>
      </c>
      <c r="E18" s="6" t="s">
        <v>27</v>
      </c>
      <c r="F18" s="30"/>
      <c r="G18" s="5"/>
      <c r="H18" s="5">
        <f t="shared" si="4"/>
        <v>0</v>
      </c>
      <c r="I18" s="30">
        <v>100</v>
      </c>
      <c r="J18" s="5">
        <f t="shared" si="0"/>
        <v>9.966396761133602</v>
      </c>
      <c r="K18" s="5">
        <f t="shared" si="1"/>
        <v>996.6396761133602</v>
      </c>
      <c r="L18" s="19">
        <f t="shared" si="5"/>
        <v>550</v>
      </c>
      <c r="M18" s="5">
        <f t="shared" si="2"/>
        <v>9.966396761133602</v>
      </c>
      <c r="N18" s="5">
        <f t="shared" si="3"/>
        <v>5481.5182186234815</v>
      </c>
    </row>
    <row r="19" spans="1:14" ht="15">
      <c r="A19" s="42">
        <v>9</v>
      </c>
      <c r="B19" s="12">
        <v>39832</v>
      </c>
      <c r="C19" s="21" t="s">
        <v>33</v>
      </c>
      <c r="D19" s="21" t="s">
        <v>33</v>
      </c>
      <c r="E19" s="6" t="s">
        <v>27</v>
      </c>
      <c r="F19" s="30"/>
      <c r="G19" s="5"/>
      <c r="H19" s="5">
        <f t="shared" si="4"/>
        <v>0</v>
      </c>
      <c r="I19" s="30">
        <v>355</v>
      </c>
      <c r="J19" s="5">
        <f t="shared" si="0"/>
        <v>9.966396761133602</v>
      </c>
      <c r="K19" s="5">
        <f t="shared" si="1"/>
        <v>3538.0708502024286</v>
      </c>
      <c r="L19" s="19">
        <f t="shared" si="5"/>
        <v>195</v>
      </c>
      <c r="M19" s="5">
        <f t="shared" si="2"/>
        <v>9.966396761133602</v>
      </c>
      <c r="N19" s="5">
        <f t="shared" si="3"/>
        <v>1943.4473684210525</v>
      </c>
    </row>
    <row r="20" spans="1:14" ht="15">
      <c r="A20" s="42">
        <v>10</v>
      </c>
      <c r="B20" s="12">
        <v>39832</v>
      </c>
      <c r="C20" s="42" t="s">
        <v>36</v>
      </c>
      <c r="D20" s="42" t="s">
        <v>37</v>
      </c>
      <c r="E20" s="35" t="s">
        <v>20</v>
      </c>
      <c r="F20" s="30">
        <v>900</v>
      </c>
      <c r="G20" s="5">
        <v>10.2</v>
      </c>
      <c r="H20" s="5">
        <f t="shared" si="4"/>
        <v>9180</v>
      </c>
      <c r="I20" s="30"/>
      <c r="J20" s="5">
        <f t="shared" si="0"/>
        <v>0</v>
      </c>
      <c r="K20" s="5">
        <f t="shared" si="1"/>
        <v>0</v>
      </c>
      <c r="L20" s="19">
        <f t="shared" si="5"/>
        <v>1095</v>
      </c>
      <c r="M20" s="5">
        <f t="shared" si="2"/>
        <v>10.158399423215574</v>
      </c>
      <c r="N20" s="5">
        <f t="shared" si="3"/>
        <v>11123.447368421053</v>
      </c>
    </row>
    <row r="21" spans="1:14" ht="15">
      <c r="A21" s="42">
        <v>11</v>
      </c>
      <c r="B21" s="12">
        <v>39833</v>
      </c>
      <c r="C21" s="42" t="s">
        <v>36</v>
      </c>
      <c r="D21" s="42" t="s">
        <v>37</v>
      </c>
      <c r="E21" s="35" t="s">
        <v>48</v>
      </c>
      <c r="F21" s="31">
        <v>-200</v>
      </c>
      <c r="G21" s="32">
        <v>10.2</v>
      </c>
      <c r="H21" s="32">
        <f t="shared" si="4"/>
        <v>-2039.9999999999998</v>
      </c>
      <c r="I21" s="30"/>
      <c r="J21" s="5">
        <f t="shared" si="0"/>
        <v>0</v>
      </c>
      <c r="K21" s="5">
        <f t="shared" si="1"/>
        <v>0</v>
      </c>
      <c r="L21" s="19">
        <f>IF(AND(F21=0,I21=0),0,IF(F21&lt;&gt;0,L20+F21,L20-I21))</f>
        <v>895</v>
      </c>
      <c r="M21" s="5">
        <f t="shared" si="2"/>
        <v>10.149103204939724</v>
      </c>
      <c r="N21" s="5">
        <f t="shared" si="3"/>
        <v>9083.447368421053</v>
      </c>
    </row>
    <row r="22" spans="1:14" ht="15">
      <c r="A22" s="42">
        <v>12</v>
      </c>
      <c r="B22" s="12">
        <v>39835</v>
      </c>
      <c r="C22" s="21" t="s">
        <v>33</v>
      </c>
      <c r="D22" s="21" t="s">
        <v>33</v>
      </c>
      <c r="E22" s="35" t="s">
        <v>27</v>
      </c>
      <c r="F22" s="30"/>
      <c r="G22" s="5"/>
      <c r="H22" s="5">
        <f t="shared" si="4"/>
        <v>0</v>
      </c>
      <c r="I22" s="30">
        <v>635</v>
      </c>
      <c r="J22" s="5">
        <f t="shared" si="0"/>
        <v>10.149103204939724</v>
      </c>
      <c r="K22" s="5">
        <f t="shared" si="1"/>
        <v>6444.680535136725</v>
      </c>
      <c r="L22" s="19">
        <f t="shared" si="5"/>
        <v>260</v>
      </c>
      <c r="M22" s="5">
        <f t="shared" si="2"/>
        <v>10.149103204939724</v>
      </c>
      <c r="N22" s="5">
        <f t="shared" si="3"/>
        <v>2638.766833284328</v>
      </c>
    </row>
    <row r="23" spans="1:14" ht="15">
      <c r="A23" s="42">
        <v>13</v>
      </c>
      <c r="B23" s="12">
        <v>39836</v>
      </c>
      <c r="C23" s="42" t="s">
        <v>38</v>
      </c>
      <c r="D23" s="42" t="s">
        <v>39</v>
      </c>
      <c r="E23" s="35" t="s">
        <v>28</v>
      </c>
      <c r="F23" s="30">
        <v>250</v>
      </c>
      <c r="G23" s="5">
        <v>9.96</v>
      </c>
      <c r="H23" s="5">
        <f t="shared" si="4"/>
        <v>2490</v>
      </c>
      <c r="I23" s="30"/>
      <c r="J23" s="5">
        <f t="shared" si="0"/>
        <v>0</v>
      </c>
      <c r="K23" s="5">
        <f t="shared" si="1"/>
        <v>0</v>
      </c>
      <c r="L23" s="19">
        <f t="shared" si="5"/>
        <v>510</v>
      </c>
      <c r="M23" s="5">
        <f t="shared" si="2"/>
        <v>10.056405555459467</v>
      </c>
      <c r="N23" s="5">
        <f t="shared" si="3"/>
        <v>5128.766833284328</v>
      </c>
    </row>
    <row r="24" spans="1:14" ht="15">
      <c r="A24" s="42">
        <v>14</v>
      </c>
      <c r="B24" s="12">
        <v>39837</v>
      </c>
      <c r="C24" s="42" t="s">
        <v>40</v>
      </c>
      <c r="D24" s="42" t="s">
        <v>41</v>
      </c>
      <c r="E24" s="35" t="s">
        <v>18</v>
      </c>
      <c r="F24" s="30">
        <v>500</v>
      </c>
      <c r="G24" s="5">
        <v>10.1</v>
      </c>
      <c r="H24" s="5">
        <f t="shared" si="4"/>
        <v>5050</v>
      </c>
      <c r="I24" s="30"/>
      <c r="J24" s="5">
        <f t="shared" si="0"/>
        <v>0</v>
      </c>
      <c r="K24" s="5">
        <f t="shared" si="1"/>
        <v>0</v>
      </c>
      <c r="L24" s="19">
        <f t="shared" si="5"/>
        <v>1010</v>
      </c>
      <c r="M24" s="5">
        <f t="shared" si="2"/>
        <v>10.077986963647849</v>
      </c>
      <c r="N24" s="5">
        <f t="shared" si="3"/>
        <v>10178.766833284328</v>
      </c>
    </row>
    <row r="25" spans="1:14" ht="15">
      <c r="A25" s="42">
        <v>15</v>
      </c>
      <c r="B25" s="11">
        <v>39840</v>
      </c>
      <c r="C25" s="21" t="s">
        <v>33</v>
      </c>
      <c r="D25" s="21" t="s">
        <v>33</v>
      </c>
      <c r="E25" s="35" t="s">
        <v>27</v>
      </c>
      <c r="F25" s="30"/>
      <c r="G25" s="5"/>
      <c r="H25" s="5">
        <f t="shared" si="4"/>
        <v>0</v>
      </c>
      <c r="I25" s="30">
        <v>600</v>
      </c>
      <c r="J25" s="5">
        <f t="shared" si="0"/>
        <v>10.077986963647849</v>
      </c>
      <c r="K25" s="5">
        <f t="shared" si="1"/>
        <v>6046.792178188709</v>
      </c>
      <c r="L25" s="19">
        <f t="shared" si="5"/>
        <v>410</v>
      </c>
      <c r="M25" s="5">
        <f t="shared" si="2"/>
        <v>10.077986963647849</v>
      </c>
      <c r="N25" s="5">
        <f t="shared" si="3"/>
        <v>4131.974655095618</v>
      </c>
    </row>
    <row r="26" spans="1:14" ht="15">
      <c r="A26" s="42">
        <v>16</v>
      </c>
      <c r="B26" s="11">
        <v>39840</v>
      </c>
      <c r="C26" s="42" t="s">
        <v>42</v>
      </c>
      <c r="D26" s="42" t="s">
        <v>43</v>
      </c>
      <c r="E26" s="35" t="s">
        <v>19</v>
      </c>
      <c r="F26" s="30">
        <v>700</v>
      </c>
      <c r="G26" s="5">
        <v>10</v>
      </c>
      <c r="H26" s="5">
        <f t="shared" si="4"/>
        <v>7000</v>
      </c>
      <c r="I26" s="30"/>
      <c r="J26" s="5">
        <f t="shared" si="0"/>
        <v>0</v>
      </c>
      <c r="K26" s="5">
        <f t="shared" si="1"/>
        <v>0</v>
      </c>
      <c r="L26" s="19">
        <f t="shared" si="5"/>
        <v>1110</v>
      </c>
      <c r="M26" s="5">
        <f t="shared" si="2"/>
        <v>10.028805995581639</v>
      </c>
      <c r="N26" s="5">
        <f t="shared" si="3"/>
        <v>11131.974655095619</v>
      </c>
    </row>
    <row r="27" spans="1:14" ht="15">
      <c r="A27" s="42">
        <v>17</v>
      </c>
      <c r="B27" s="11">
        <v>39843</v>
      </c>
      <c r="C27" s="21" t="s">
        <v>33</v>
      </c>
      <c r="D27" s="21" t="s">
        <v>33</v>
      </c>
      <c r="E27" s="35" t="s">
        <v>27</v>
      </c>
      <c r="F27" s="30"/>
      <c r="G27" s="5"/>
      <c r="H27" s="5">
        <f t="shared" si="4"/>
        <v>0</v>
      </c>
      <c r="I27" s="30">
        <v>400</v>
      </c>
      <c r="J27" s="5">
        <f t="shared" si="0"/>
        <v>10.028805995581639</v>
      </c>
      <c r="K27" s="5">
        <f t="shared" si="1"/>
        <v>4011.5223982326556</v>
      </c>
      <c r="L27" s="19">
        <f t="shared" si="5"/>
        <v>710</v>
      </c>
      <c r="M27" s="5">
        <f t="shared" si="2"/>
        <v>10.028805995581639</v>
      </c>
      <c r="N27" s="5">
        <f t="shared" si="3"/>
        <v>7120.452256862964</v>
      </c>
    </row>
    <row r="28" spans="1:14" ht="15">
      <c r="A28" s="42">
        <v>18</v>
      </c>
      <c r="B28" s="11">
        <v>39844</v>
      </c>
      <c r="C28" s="21" t="s">
        <v>33</v>
      </c>
      <c r="D28" s="21" t="s">
        <v>33</v>
      </c>
      <c r="E28" s="6" t="s">
        <v>27</v>
      </c>
      <c r="F28" s="30"/>
      <c r="G28" s="5"/>
      <c r="H28" s="5">
        <f t="shared" si="4"/>
        <v>0</v>
      </c>
      <c r="I28" s="30">
        <v>350</v>
      </c>
      <c r="J28" s="5">
        <f t="shared" si="0"/>
        <v>10.028805995581639</v>
      </c>
      <c r="K28" s="5">
        <f t="shared" si="1"/>
        <v>3510.0820984535735</v>
      </c>
      <c r="L28" s="19">
        <f t="shared" si="5"/>
        <v>360</v>
      </c>
      <c r="M28" s="5">
        <f t="shared" si="2"/>
        <v>10.028805995581639</v>
      </c>
      <c r="N28" s="5">
        <f t="shared" si="3"/>
        <v>3610.37015840939</v>
      </c>
    </row>
    <row r="29" spans="7:14" ht="15.75" thickBot="1">
      <c r="G29" s="4"/>
      <c r="H29" s="4"/>
      <c r="J29" s="4"/>
      <c r="K29" s="4"/>
      <c r="M29" s="4"/>
      <c r="N29" s="4"/>
    </row>
    <row r="30" spans="1:14" ht="15.75" thickBot="1">
      <c r="A30" s="134" t="s">
        <v>6</v>
      </c>
      <c r="B30" s="134"/>
      <c r="C30" s="134"/>
      <c r="D30" s="135"/>
      <c r="E30" s="24" t="s">
        <v>44</v>
      </c>
      <c r="F30" s="25">
        <f>SUM(F11:F28)+L11</f>
        <v>3500</v>
      </c>
      <c r="G30" s="22"/>
      <c r="H30" s="26">
        <f>SUM(H11:H28)</f>
        <v>33653</v>
      </c>
      <c r="I30" s="27">
        <f>SUM(I11:I28)</f>
        <v>3140</v>
      </c>
      <c r="J30" s="23"/>
      <c r="K30" s="29">
        <f>SUM(K12:K28)</f>
        <v>31542.629841590613</v>
      </c>
      <c r="L30" s="25">
        <f>+F30-I30</f>
        <v>360</v>
      </c>
      <c r="M30" s="23"/>
      <c r="N30" s="26">
        <f>+N28</f>
        <v>3610.37015840939</v>
      </c>
    </row>
    <row r="31" spans="1:14" ht="15" customHeight="1">
      <c r="A31" s="122" t="s">
        <v>7</v>
      </c>
      <c r="B31" s="122"/>
      <c r="C31" s="122"/>
      <c r="D31" s="2">
        <f>+N11</f>
        <v>1500</v>
      </c>
      <c r="N31" s="4"/>
    </row>
    <row r="32" spans="1:4" ht="15" customHeight="1">
      <c r="A32" s="122" t="s">
        <v>21</v>
      </c>
      <c r="B32" s="122"/>
      <c r="C32" s="122"/>
      <c r="D32" s="2">
        <f>+H30</f>
        <v>33653</v>
      </c>
    </row>
    <row r="33" spans="1:4" ht="15" customHeight="1">
      <c r="A33" s="122" t="s">
        <v>8</v>
      </c>
      <c r="B33" s="122"/>
      <c r="C33" s="122"/>
      <c r="D33" s="2">
        <f>-N30</f>
        <v>-3610.37015840939</v>
      </c>
    </row>
    <row r="34" spans="1:11" ht="15" customHeight="1">
      <c r="A34" s="122" t="s">
        <v>9</v>
      </c>
      <c r="B34" s="122"/>
      <c r="C34" s="122"/>
      <c r="D34" s="28">
        <f>+SUM(D31:D33)</f>
        <v>31542.62984159061</v>
      </c>
      <c r="F34" s="129" t="s">
        <v>49</v>
      </c>
      <c r="G34" s="130"/>
      <c r="H34" s="130"/>
      <c r="I34" s="130"/>
      <c r="J34" s="131"/>
      <c r="K34" s="37">
        <f>+K30-D34</f>
        <v>0</v>
      </c>
    </row>
    <row r="35" ht="15">
      <c r="G35" s="4"/>
    </row>
  </sheetData>
  <sheetProtection/>
  <mergeCells count="16">
    <mergeCell ref="A7:N7"/>
    <mergeCell ref="A1:N5"/>
    <mergeCell ref="G6:N6"/>
    <mergeCell ref="F34:J34"/>
    <mergeCell ref="F9:H9"/>
    <mergeCell ref="I9:K9"/>
    <mergeCell ref="L9:N9"/>
    <mergeCell ref="B9:B10"/>
    <mergeCell ref="E9:E10"/>
    <mergeCell ref="A30:D30"/>
    <mergeCell ref="A31:C31"/>
    <mergeCell ref="A32:C32"/>
    <mergeCell ref="A33:C33"/>
    <mergeCell ref="A34:C34"/>
    <mergeCell ref="A9:A10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PageLayoutView="0" workbookViewId="0" topLeftCell="A1">
      <selection activeCell="A6" sqref="A6:IV6"/>
    </sheetView>
  </sheetViews>
  <sheetFormatPr defaultColWidth="9.14062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4.28125" style="0" customWidth="1"/>
    <col min="6" max="6" width="6.57421875" style="0" bestFit="1" customWidth="1"/>
    <col min="7" max="7" width="7.00390625" style="0" bestFit="1" customWidth="1"/>
    <col min="8" max="8" width="10.7109375" style="0" bestFit="1" customWidth="1"/>
    <col min="9" max="9" width="2.57421875" style="0" customWidth="1"/>
    <col min="10" max="10" width="6.57421875" style="0" bestFit="1" customWidth="1"/>
    <col min="11" max="11" width="7.42187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6.7109375" style="0" customWidth="1"/>
    <col min="16" max="16384" width="11.421875" style="0" customWidth="1"/>
  </cols>
  <sheetData>
    <row r="1" spans="1:16" ht="1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2:14" ht="15">
      <c r="B6" s="119"/>
      <c r="E6" s="120"/>
      <c r="H6" s="121"/>
      <c r="I6" s="121"/>
      <c r="J6" s="121"/>
      <c r="K6" s="121"/>
      <c r="L6" s="121"/>
      <c r="M6" s="121"/>
      <c r="N6" s="121"/>
    </row>
    <row r="7" spans="1:19" ht="23.25">
      <c r="A7" s="126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0"/>
      <c r="R7" s="10"/>
      <c r="S7" s="10"/>
    </row>
    <row r="8" ht="15">
      <c r="I8" s="1"/>
    </row>
    <row r="9" spans="1:16" ht="15" customHeight="1">
      <c r="A9" s="123" t="s">
        <v>11</v>
      </c>
      <c r="B9" s="125" t="s">
        <v>0</v>
      </c>
      <c r="C9" s="125" t="s">
        <v>14</v>
      </c>
      <c r="D9" s="125"/>
      <c r="E9" s="125" t="s">
        <v>1</v>
      </c>
      <c r="F9" s="125" t="s">
        <v>2</v>
      </c>
      <c r="G9" s="125"/>
      <c r="H9" s="138"/>
      <c r="I9" s="69"/>
      <c r="J9" s="140" t="s">
        <v>50</v>
      </c>
      <c r="K9" s="125"/>
      <c r="L9" s="132"/>
      <c r="M9" s="53"/>
      <c r="N9" s="140" t="s">
        <v>4</v>
      </c>
      <c r="O9" s="125"/>
      <c r="P9" s="132"/>
    </row>
    <row r="10" spans="1:16" ht="15.75" thickBot="1">
      <c r="A10" s="136"/>
      <c r="B10" s="137"/>
      <c r="C10" s="67" t="s">
        <v>15</v>
      </c>
      <c r="D10" s="67" t="s">
        <v>16</v>
      </c>
      <c r="E10" s="137"/>
      <c r="F10" s="67" t="s">
        <v>5</v>
      </c>
      <c r="G10" s="67" t="s">
        <v>12</v>
      </c>
      <c r="H10" s="68" t="s">
        <v>13</v>
      </c>
      <c r="I10" s="70"/>
      <c r="J10" s="78" t="s">
        <v>5</v>
      </c>
      <c r="K10" s="15" t="s">
        <v>12</v>
      </c>
      <c r="L10" s="14" t="s">
        <v>13</v>
      </c>
      <c r="M10" s="53"/>
      <c r="N10" s="78" t="s">
        <v>5</v>
      </c>
      <c r="O10" s="15" t="s">
        <v>12</v>
      </c>
      <c r="P10" s="14" t="s">
        <v>13</v>
      </c>
    </row>
    <row r="11" spans="1:16" ht="15" customHeight="1" thickTop="1">
      <c r="A11" s="16">
        <v>1</v>
      </c>
      <c r="B11" s="17">
        <v>39814</v>
      </c>
      <c r="C11" s="63" t="s">
        <v>26</v>
      </c>
      <c r="D11" s="64"/>
      <c r="E11" s="64"/>
      <c r="F11" s="65">
        <v>150</v>
      </c>
      <c r="G11" s="71">
        <v>10</v>
      </c>
      <c r="H11" s="71">
        <f>+F11*G11</f>
        <v>1500</v>
      </c>
      <c r="I11" s="66"/>
      <c r="J11" s="115">
        <f>IF(SUM($F11:F$11)&lt;=$F$33,F11,$F$33-SUM($J10:J$10))</f>
        <v>150</v>
      </c>
      <c r="K11" s="114">
        <f>IF(J11&lt;&gt;0,G11,0)</f>
        <v>10</v>
      </c>
      <c r="L11" s="114">
        <f>+J11*K11</f>
        <v>1500</v>
      </c>
      <c r="M11" s="76"/>
      <c r="N11" s="72">
        <f>+F11-J11</f>
        <v>0</v>
      </c>
      <c r="O11" s="73">
        <f>IF(N11&lt;&gt;0,G11,0)</f>
        <v>0</v>
      </c>
      <c r="P11" s="73">
        <f>+N11*O11</f>
        <v>0</v>
      </c>
    </row>
    <row r="12" spans="1:16" ht="15" customHeight="1">
      <c r="A12" s="7">
        <v>2</v>
      </c>
      <c r="B12" s="12">
        <v>39814</v>
      </c>
      <c r="C12" s="7" t="s">
        <v>29</v>
      </c>
      <c r="D12" s="7" t="s">
        <v>30</v>
      </c>
      <c r="E12" s="6" t="s">
        <v>17</v>
      </c>
      <c r="F12" s="30">
        <v>150</v>
      </c>
      <c r="G12" s="5">
        <v>10.1</v>
      </c>
      <c r="H12" s="36">
        <f>+F12*G12</f>
        <v>1515</v>
      </c>
      <c r="I12" s="3"/>
      <c r="J12" s="115">
        <f>IF(SUM($F$11:F12)&lt;=$F$33,F12,$F$33-SUM($J$10:J11))</f>
        <v>150</v>
      </c>
      <c r="K12" s="74">
        <f aca="true" t="shared" si="0" ref="K12:K19">IF(J12&lt;&gt;0,G12,0)</f>
        <v>10.1</v>
      </c>
      <c r="L12" s="75">
        <f>+J12*K12</f>
        <v>1515</v>
      </c>
      <c r="M12" s="76"/>
      <c r="N12" s="72">
        <f aca="true" t="shared" si="1" ref="N12:N18">+F12-J12</f>
        <v>0</v>
      </c>
      <c r="O12" s="73">
        <f aca="true" t="shared" si="2" ref="O12:O19">IF(N12&lt;&gt;0,G12,0)</f>
        <v>0</v>
      </c>
      <c r="P12" s="73">
        <f aca="true" t="shared" si="3" ref="P12:P19">+N12*O12</f>
        <v>0</v>
      </c>
    </row>
    <row r="13" spans="1:16" ht="15" customHeight="1">
      <c r="A13" s="7">
        <v>3</v>
      </c>
      <c r="B13" s="12">
        <v>39815</v>
      </c>
      <c r="C13" s="7" t="s">
        <v>31</v>
      </c>
      <c r="D13" s="7" t="s">
        <v>32</v>
      </c>
      <c r="E13" s="6" t="s">
        <v>18</v>
      </c>
      <c r="F13" s="30">
        <v>350</v>
      </c>
      <c r="G13" s="5">
        <v>9.98</v>
      </c>
      <c r="H13" s="36">
        <f>+F13*G13</f>
        <v>3493</v>
      </c>
      <c r="I13" s="3"/>
      <c r="J13" s="115">
        <f>IF(SUM($F$11:F13)&lt;=$F$33,F13,$F$33-SUM($J$10:J12))</f>
        <v>350</v>
      </c>
      <c r="K13" s="74">
        <f t="shared" si="0"/>
        <v>9.98</v>
      </c>
      <c r="L13" s="75">
        <f aca="true" t="shared" si="4" ref="L13:L18">+J13*K13</f>
        <v>3493</v>
      </c>
      <c r="M13" s="76"/>
      <c r="N13" s="72">
        <f t="shared" si="1"/>
        <v>0</v>
      </c>
      <c r="O13" s="73">
        <f t="shared" si="2"/>
        <v>0</v>
      </c>
      <c r="P13" s="73">
        <f t="shared" si="3"/>
        <v>0</v>
      </c>
    </row>
    <row r="14" spans="1:16" ht="15" customHeight="1">
      <c r="A14" s="7">
        <v>4</v>
      </c>
      <c r="B14" s="12">
        <v>39823</v>
      </c>
      <c r="C14" s="7" t="s">
        <v>34</v>
      </c>
      <c r="D14" s="7" t="s">
        <v>35</v>
      </c>
      <c r="E14" s="6" t="s">
        <v>19</v>
      </c>
      <c r="F14" s="30">
        <v>700</v>
      </c>
      <c r="G14" s="5">
        <v>9.95</v>
      </c>
      <c r="H14" s="36">
        <f aca="true" t="shared" si="5" ref="H14:H19">+F14*G14</f>
        <v>6964.999999999999</v>
      </c>
      <c r="I14" s="3"/>
      <c r="J14" s="115">
        <f>IF(SUM($F$11:F14)&lt;=$F$33,F14,$F$33-SUM($J$10:J13))</f>
        <v>700</v>
      </c>
      <c r="K14" s="74">
        <f t="shared" si="0"/>
        <v>9.95</v>
      </c>
      <c r="L14" s="75">
        <f t="shared" si="4"/>
        <v>6964.999999999999</v>
      </c>
      <c r="M14" s="76"/>
      <c r="N14" s="72">
        <f t="shared" si="1"/>
        <v>0</v>
      </c>
      <c r="O14" s="73">
        <f t="shared" si="2"/>
        <v>0</v>
      </c>
      <c r="P14" s="73">
        <f t="shared" si="3"/>
        <v>0</v>
      </c>
    </row>
    <row r="15" spans="1:16" ht="15" customHeight="1">
      <c r="A15" s="42">
        <v>5</v>
      </c>
      <c r="B15" s="52">
        <v>39832</v>
      </c>
      <c r="C15" s="42" t="s">
        <v>36</v>
      </c>
      <c r="D15" s="42" t="s">
        <v>37</v>
      </c>
      <c r="E15" s="35" t="s">
        <v>20</v>
      </c>
      <c r="F15" s="44">
        <v>900</v>
      </c>
      <c r="G15" s="36">
        <v>10.2</v>
      </c>
      <c r="H15" s="36">
        <f t="shared" si="5"/>
        <v>9180</v>
      </c>
      <c r="I15" s="3"/>
      <c r="J15" s="115">
        <f>IF(SUM($F$11:F15)&lt;=$F$33,F15,$F$33-SUM($J$10:J14))</f>
        <v>900</v>
      </c>
      <c r="K15" s="74">
        <f t="shared" si="0"/>
        <v>10.2</v>
      </c>
      <c r="L15" s="75">
        <f t="shared" si="4"/>
        <v>9180</v>
      </c>
      <c r="M15" s="76"/>
      <c r="N15" s="72">
        <f t="shared" si="1"/>
        <v>0</v>
      </c>
      <c r="O15" s="73">
        <f t="shared" si="2"/>
        <v>0</v>
      </c>
      <c r="P15" s="73">
        <f t="shared" si="3"/>
        <v>0</v>
      </c>
    </row>
    <row r="16" spans="1:16" ht="15" customHeight="1">
      <c r="A16" s="42">
        <v>6</v>
      </c>
      <c r="B16" s="52">
        <v>39833</v>
      </c>
      <c r="C16" s="42" t="s">
        <v>36</v>
      </c>
      <c r="D16" s="42" t="s">
        <v>37</v>
      </c>
      <c r="E16" s="35" t="s">
        <v>48</v>
      </c>
      <c r="F16" s="45">
        <v>-200</v>
      </c>
      <c r="G16" s="46">
        <v>10.2</v>
      </c>
      <c r="H16" s="46">
        <f t="shared" si="5"/>
        <v>-2039.9999999999998</v>
      </c>
      <c r="I16" s="54"/>
      <c r="J16" s="115">
        <f>IF(SUM($F$11:F16)&lt;=$F$33,F16,$F$33-SUM($J$10:J15))</f>
        <v>-200</v>
      </c>
      <c r="K16" s="113">
        <f t="shared" si="0"/>
        <v>10.2</v>
      </c>
      <c r="L16" s="114">
        <f t="shared" si="4"/>
        <v>-2039.9999999999998</v>
      </c>
      <c r="M16" s="77"/>
      <c r="N16" s="72">
        <f t="shared" si="1"/>
        <v>0</v>
      </c>
      <c r="O16" s="73">
        <f t="shared" si="2"/>
        <v>0</v>
      </c>
      <c r="P16" s="73">
        <f t="shared" si="3"/>
        <v>0</v>
      </c>
    </row>
    <row r="17" spans="1:16" ht="15" customHeight="1">
      <c r="A17" s="42">
        <v>7</v>
      </c>
      <c r="B17" s="52">
        <v>39836</v>
      </c>
      <c r="C17" s="42" t="s">
        <v>38</v>
      </c>
      <c r="D17" s="42" t="s">
        <v>39</v>
      </c>
      <c r="E17" s="35" t="s">
        <v>28</v>
      </c>
      <c r="F17" s="44">
        <v>250</v>
      </c>
      <c r="G17" s="36">
        <v>9.96</v>
      </c>
      <c r="H17" s="36">
        <f t="shared" si="5"/>
        <v>2490</v>
      </c>
      <c r="I17" s="3"/>
      <c r="J17" s="115">
        <f>IF(SUM($F$11:F17)&lt;=$F$33,F17,$F$33-SUM($J$10:J16))</f>
        <v>250</v>
      </c>
      <c r="K17" s="74">
        <f t="shared" si="0"/>
        <v>9.96</v>
      </c>
      <c r="L17" s="75">
        <f t="shared" si="4"/>
        <v>2490</v>
      </c>
      <c r="M17" s="76"/>
      <c r="N17" s="72">
        <f t="shared" si="1"/>
        <v>0</v>
      </c>
      <c r="O17" s="73">
        <f t="shared" si="2"/>
        <v>0</v>
      </c>
      <c r="P17" s="73">
        <f t="shared" si="3"/>
        <v>0</v>
      </c>
    </row>
    <row r="18" spans="1:16" ht="15" customHeight="1">
      <c r="A18" s="42">
        <v>8</v>
      </c>
      <c r="B18" s="52">
        <v>39837</v>
      </c>
      <c r="C18" s="42" t="s">
        <v>40</v>
      </c>
      <c r="D18" s="42" t="s">
        <v>41</v>
      </c>
      <c r="E18" s="35" t="s">
        <v>18</v>
      </c>
      <c r="F18" s="44">
        <v>500</v>
      </c>
      <c r="G18" s="36">
        <v>10.1</v>
      </c>
      <c r="H18" s="36">
        <f t="shared" si="5"/>
        <v>5050</v>
      </c>
      <c r="I18" s="3"/>
      <c r="J18" s="115">
        <f>IF(SUM($F$11:F18)&lt;=$F$33,F18,$F$33-SUM($J$10:J17))</f>
        <v>500</v>
      </c>
      <c r="K18" s="74">
        <f t="shared" si="0"/>
        <v>10.1</v>
      </c>
      <c r="L18" s="75">
        <f t="shared" si="4"/>
        <v>5050</v>
      </c>
      <c r="M18" s="76"/>
      <c r="N18" s="72">
        <f t="shared" si="1"/>
        <v>0</v>
      </c>
      <c r="O18" s="73">
        <f t="shared" si="2"/>
        <v>0</v>
      </c>
      <c r="P18" s="73">
        <f t="shared" si="3"/>
        <v>0</v>
      </c>
    </row>
    <row r="19" spans="1:16" ht="15" customHeight="1" thickBot="1">
      <c r="A19" s="47">
        <v>9</v>
      </c>
      <c r="B19" s="48">
        <v>39840</v>
      </c>
      <c r="C19" s="47" t="s">
        <v>42</v>
      </c>
      <c r="D19" s="47" t="s">
        <v>43</v>
      </c>
      <c r="E19" s="49" t="s">
        <v>19</v>
      </c>
      <c r="F19" s="50">
        <v>700</v>
      </c>
      <c r="G19" s="51">
        <v>10</v>
      </c>
      <c r="H19" s="51">
        <f t="shared" si="5"/>
        <v>7000</v>
      </c>
      <c r="I19" s="3"/>
      <c r="J19" s="116">
        <f>IF(SUM($F$11:F19)&lt;=$F$33,F19,$F$33-SUM($J$10:J18))</f>
        <v>340</v>
      </c>
      <c r="K19" s="117">
        <f t="shared" si="0"/>
        <v>10</v>
      </c>
      <c r="L19" s="118">
        <f>+J19*K19</f>
        <v>3400</v>
      </c>
      <c r="M19" s="76"/>
      <c r="N19" s="81">
        <f>+F19-J19</f>
        <v>360</v>
      </c>
      <c r="O19" s="82">
        <f t="shared" si="2"/>
        <v>10</v>
      </c>
      <c r="P19" s="82">
        <f t="shared" si="3"/>
        <v>3600</v>
      </c>
    </row>
    <row r="20" spans="1:16" ht="15" customHeight="1" thickTop="1">
      <c r="A20" s="143" t="s">
        <v>51</v>
      </c>
      <c r="B20" s="144"/>
      <c r="C20" s="144"/>
      <c r="D20" s="144"/>
      <c r="E20" s="144"/>
      <c r="F20" s="79">
        <f>SUM(F11:F19)</f>
        <v>3500</v>
      </c>
      <c r="G20" s="80"/>
      <c r="H20" s="80">
        <f>SUM(H12:H19)</f>
        <v>33653</v>
      </c>
      <c r="I20" s="3"/>
      <c r="J20" s="60">
        <f>SUM(J11:J19)</f>
        <v>3140</v>
      </c>
      <c r="K20" s="92"/>
      <c r="L20" s="93">
        <f>SUM(L11:L19)</f>
        <v>31553</v>
      </c>
      <c r="M20" s="83"/>
      <c r="N20" s="84">
        <f>+F20-J20</f>
        <v>360</v>
      </c>
      <c r="O20" s="85"/>
      <c r="P20" s="85">
        <f>SUM(P11:P19)</f>
        <v>3600</v>
      </c>
    </row>
    <row r="21" spans="1:16" ht="15">
      <c r="A21" s="38"/>
      <c r="B21" s="39"/>
      <c r="C21" s="38"/>
      <c r="D21" s="38"/>
      <c r="E21" s="1"/>
      <c r="F21" s="40"/>
      <c r="G21" s="3"/>
      <c r="H21" s="3"/>
      <c r="I21" s="3"/>
      <c r="J21" s="40"/>
      <c r="K21" s="3"/>
      <c r="L21" s="3"/>
      <c r="M21" s="3"/>
      <c r="N21" s="41"/>
      <c r="O21" s="3"/>
      <c r="P21" s="3"/>
    </row>
    <row r="22" spans="1:16" ht="15">
      <c r="A22" s="123" t="s">
        <v>11</v>
      </c>
      <c r="B22" s="125" t="s">
        <v>0</v>
      </c>
      <c r="C22" s="125" t="s">
        <v>14</v>
      </c>
      <c r="D22" s="125"/>
      <c r="E22" s="125" t="s">
        <v>1</v>
      </c>
      <c r="F22" s="125" t="s">
        <v>3</v>
      </c>
      <c r="G22" s="125"/>
      <c r="H22" s="132"/>
      <c r="I22" s="53"/>
      <c r="J22" s="40"/>
      <c r="K22" s="3"/>
      <c r="L22" s="3"/>
      <c r="M22" s="3"/>
      <c r="N22" s="41"/>
      <c r="O22" s="3"/>
      <c r="P22" s="3"/>
    </row>
    <row r="23" spans="1:16" s="1" customFormat="1" ht="15">
      <c r="A23" s="145"/>
      <c r="B23" s="146"/>
      <c r="C23" s="61" t="s">
        <v>15</v>
      </c>
      <c r="D23" s="61" t="s">
        <v>16</v>
      </c>
      <c r="E23" s="146"/>
      <c r="F23" s="61" t="s">
        <v>5</v>
      </c>
      <c r="G23" s="61" t="s">
        <v>12</v>
      </c>
      <c r="H23" s="62" t="s">
        <v>13</v>
      </c>
      <c r="I23" s="53"/>
      <c r="N23" s="41"/>
      <c r="O23" s="3"/>
      <c r="P23" s="3"/>
    </row>
    <row r="24" spans="1:18" ht="15">
      <c r="A24" s="42">
        <v>10</v>
      </c>
      <c r="B24" s="43">
        <v>39820</v>
      </c>
      <c r="C24" s="42" t="s">
        <v>33</v>
      </c>
      <c r="D24" s="42" t="s">
        <v>33</v>
      </c>
      <c r="E24" s="35" t="s">
        <v>27</v>
      </c>
      <c r="F24" s="44">
        <v>550</v>
      </c>
      <c r="G24" s="36"/>
      <c r="H24" s="36"/>
      <c r="I24" s="3"/>
      <c r="N24" s="41"/>
      <c r="O24" s="3"/>
      <c r="P24" s="3"/>
      <c r="Q24" s="1"/>
      <c r="R24" s="1"/>
    </row>
    <row r="25" spans="1:18" ht="15">
      <c r="A25" s="42">
        <v>11</v>
      </c>
      <c r="B25" s="43">
        <v>39821</v>
      </c>
      <c r="C25" s="42" t="s">
        <v>33</v>
      </c>
      <c r="D25" s="42" t="s">
        <v>33</v>
      </c>
      <c r="E25" s="35" t="s">
        <v>47</v>
      </c>
      <c r="F25" s="45">
        <v>-150</v>
      </c>
      <c r="G25" s="36"/>
      <c r="H25" s="36"/>
      <c r="I25" s="3"/>
      <c r="J25" s="129" t="s">
        <v>49</v>
      </c>
      <c r="K25" s="130"/>
      <c r="L25" s="130"/>
      <c r="M25" s="147">
        <f>+L20-M33</f>
        <v>0</v>
      </c>
      <c r="N25" s="147"/>
      <c r="O25" s="147"/>
      <c r="P25" s="3"/>
      <c r="Q25" s="1"/>
      <c r="R25" s="1"/>
    </row>
    <row r="26" spans="1:18" ht="15">
      <c r="A26" s="42">
        <v>12</v>
      </c>
      <c r="B26" s="43">
        <v>39825</v>
      </c>
      <c r="C26" s="42" t="s">
        <v>33</v>
      </c>
      <c r="D26" s="42" t="s">
        <v>33</v>
      </c>
      <c r="E26" s="35" t="s">
        <v>27</v>
      </c>
      <c r="F26" s="44">
        <v>300</v>
      </c>
      <c r="G26" s="36"/>
      <c r="H26" s="36"/>
      <c r="I26" s="3"/>
      <c r="N26" s="41"/>
      <c r="O26" s="3"/>
      <c r="P26" s="3"/>
      <c r="Q26" s="1"/>
      <c r="R26" s="1"/>
    </row>
    <row r="27" spans="1:18" ht="15">
      <c r="A27" s="42">
        <v>13</v>
      </c>
      <c r="B27" s="43">
        <v>39828</v>
      </c>
      <c r="C27" s="42" t="s">
        <v>33</v>
      </c>
      <c r="D27" s="42" t="s">
        <v>33</v>
      </c>
      <c r="E27" s="35" t="s">
        <v>27</v>
      </c>
      <c r="F27" s="44">
        <v>100</v>
      </c>
      <c r="G27" s="36"/>
      <c r="H27" s="36"/>
      <c r="I27" s="3"/>
      <c r="N27" s="41"/>
      <c r="O27" s="3"/>
      <c r="P27" s="3"/>
      <c r="Q27" s="1"/>
      <c r="R27" s="1"/>
    </row>
    <row r="28" spans="1:18" ht="15">
      <c r="A28" s="42">
        <v>14</v>
      </c>
      <c r="B28" s="43">
        <v>39832</v>
      </c>
      <c r="C28" s="42" t="s">
        <v>33</v>
      </c>
      <c r="D28" s="42" t="s">
        <v>33</v>
      </c>
      <c r="E28" s="35" t="s">
        <v>27</v>
      </c>
      <c r="F28" s="44">
        <v>355</v>
      </c>
      <c r="G28" s="36"/>
      <c r="H28" s="36"/>
      <c r="I28" s="3"/>
      <c r="J28" s="1"/>
      <c r="K28" s="3"/>
      <c r="L28" s="3"/>
      <c r="M28" s="3"/>
      <c r="N28" s="41"/>
      <c r="O28" s="3"/>
      <c r="P28" s="3"/>
      <c r="Q28" s="1"/>
      <c r="R28" s="1"/>
    </row>
    <row r="29" spans="1:18" ht="15">
      <c r="A29" s="42">
        <v>15</v>
      </c>
      <c r="B29" s="43">
        <v>39835</v>
      </c>
      <c r="C29" s="42" t="s">
        <v>33</v>
      </c>
      <c r="D29" s="42" t="s">
        <v>33</v>
      </c>
      <c r="E29" s="35" t="s">
        <v>27</v>
      </c>
      <c r="F29" s="44">
        <v>635</v>
      </c>
      <c r="G29" s="36"/>
      <c r="H29" s="36"/>
      <c r="I29" s="3"/>
      <c r="J29" s="134" t="s">
        <v>6</v>
      </c>
      <c r="K29" s="134"/>
      <c r="L29" s="134"/>
      <c r="M29" s="134"/>
      <c r="N29" s="134"/>
      <c r="O29" s="134"/>
      <c r="P29" s="3"/>
      <c r="Q29" s="1"/>
      <c r="R29" s="1"/>
    </row>
    <row r="30" spans="1:18" ht="15">
      <c r="A30" s="42">
        <v>16</v>
      </c>
      <c r="B30" s="43">
        <v>39840</v>
      </c>
      <c r="C30" s="42" t="s">
        <v>33</v>
      </c>
      <c r="D30" s="42" t="s">
        <v>33</v>
      </c>
      <c r="E30" s="35" t="s">
        <v>27</v>
      </c>
      <c r="F30" s="44">
        <v>600</v>
      </c>
      <c r="G30" s="36"/>
      <c r="H30" s="36"/>
      <c r="I30" s="3"/>
      <c r="J30" s="122" t="s">
        <v>7</v>
      </c>
      <c r="K30" s="122"/>
      <c r="L30" s="122"/>
      <c r="M30" s="148">
        <f>+H11</f>
        <v>1500</v>
      </c>
      <c r="N30" s="148"/>
      <c r="O30" s="148"/>
      <c r="P30" s="3"/>
      <c r="Q30" s="1"/>
      <c r="R30" s="1"/>
    </row>
    <row r="31" spans="1:18" ht="15">
      <c r="A31" s="42">
        <v>17</v>
      </c>
      <c r="B31" s="43">
        <v>39843</v>
      </c>
      <c r="C31" s="42" t="s">
        <v>33</v>
      </c>
      <c r="D31" s="42" t="s">
        <v>33</v>
      </c>
      <c r="E31" s="35" t="s">
        <v>27</v>
      </c>
      <c r="F31" s="44">
        <v>400</v>
      </c>
      <c r="G31" s="36"/>
      <c r="H31" s="36"/>
      <c r="I31" s="3"/>
      <c r="J31" s="122" t="s">
        <v>21</v>
      </c>
      <c r="K31" s="122"/>
      <c r="L31" s="122"/>
      <c r="M31" s="148">
        <f>+H20</f>
        <v>33653</v>
      </c>
      <c r="N31" s="148"/>
      <c r="O31" s="148"/>
      <c r="P31" s="3"/>
      <c r="Q31" s="1"/>
      <c r="R31" s="1"/>
    </row>
    <row r="32" spans="1:18" ht="15.75" thickBot="1">
      <c r="A32" s="42">
        <v>18</v>
      </c>
      <c r="B32" s="56">
        <v>39844</v>
      </c>
      <c r="C32" s="55" t="s">
        <v>33</v>
      </c>
      <c r="D32" s="55" t="s">
        <v>33</v>
      </c>
      <c r="E32" s="57" t="s">
        <v>27</v>
      </c>
      <c r="F32" s="58">
        <v>350</v>
      </c>
      <c r="G32" s="59"/>
      <c r="H32" s="59"/>
      <c r="I32" s="3"/>
      <c r="J32" s="122" t="s">
        <v>8</v>
      </c>
      <c r="K32" s="122"/>
      <c r="L32" s="122"/>
      <c r="M32" s="148">
        <f>-P20</f>
        <v>-3600</v>
      </c>
      <c r="N32" s="148"/>
      <c r="O32" s="148"/>
      <c r="P32" s="3"/>
      <c r="Q32" s="1"/>
      <c r="R32" s="1"/>
    </row>
    <row r="33" spans="1:18" ht="15.75" thickTop="1">
      <c r="A33" s="141" t="s">
        <v>52</v>
      </c>
      <c r="B33" s="142"/>
      <c r="C33" s="142"/>
      <c r="D33" s="142"/>
      <c r="E33" s="142"/>
      <c r="F33" s="60">
        <f>SUM(F24:F32)</f>
        <v>3140</v>
      </c>
      <c r="G33" s="8"/>
      <c r="H33" s="8"/>
      <c r="I33" s="3"/>
      <c r="J33" s="122" t="s">
        <v>9</v>
      </c>
      <c r="K33" s="122"/>
      <c r="L33" s="122"/>
      <c r="M33" s="139">
        <f>+SUM(M30:O32)</f>
        <v>31553</v>
      </c>
      <c r="N33" s="139"/>
      <c r="O33" s="139"/>
      <c r="P33" s="3"/>
      <c r="Q33" s="1"/>
      <c r="R33" s="1"/>
    </row>
    <row r="34" spans="1:16" ht="15">
      <c r="A34" s="38"/>
      <c r="B34" s="39"/>
      <c r="C34" s="38"/>
      <c r="D34" s="38"/>
      <c r="E34" s="1"/>
      <c r="F34" s="40"/>
      <c r="G34" s="3"/>
      <c r="H34" s="3"/>
      <c r="I34" s="3"/>
      <c r="J34" s="40"/>
      <c r="K34" s="3"/>
      <c r="L34" s="3"/>
      <c r="M34" s="3"/>
      <c r="N34" s="41"/>
      <c r="O34" s="3"/>
      <c r="P34" s="3"/>
    </row>
  </sheetData>
  <sheetProtection/>
  <mergeCells count="27">
    <mergeCell ref="A1:P5"/>
    <mergeCell ref="E22:E23"/>
    <mergeCell ref="M25:O25"/>
    <mergeCell ref="M30:O30"/>
    <mergeCell ref="M31:O31"/>
    <mergeCell ref="M32:O32"/>
    <mergeCell ref="B22:B23"/>
    <mergeCell ref="C22:D22"/>
    <mergeCell ref="N9:P9"/>
    <mergeCell ref="F22:H22"/>
    <mergeCell ref="M33:O33"/>
    <mergeCell ref="J29:O29"/>
    <mergeCell ref="J9:L9"/>
    <mergeCell ref="A33:E33"/>
    <mergeCell ref="A20:E20"/>
    <mergeCell ref="J30:L30"/>
    <mergeCell ref="J31:L31"/>
    <mergeCell ref="J32:L32"/>
    <mergeCell ref="J33:L33"/>
    <mergeCell ref="A22:A23"/>
    <mergeCell ref="J25:L25"/>
    <mergeCell ref="A7:P7"/>
    <mergeCell ref="A9:A10"/>
    <mergeCell ref="B9:B10"/>
    <mergeCell ref="C9:D9"/>
    <mergeCell ref="E9:E10"/>
    <mergeCell ref="F9:H9"/>
  </mergeCells>
  <printOptions/>
  <pageMargins left="0.7" right="0.7" top="0.75" bottom="0.75" header="0.3" footer="0.3"/>
  <pageSetup horizontalDpi="600" verticalDpi="600" orientation="portrait" paperSize="9" r:id="rId1"/>
  <ignoredErrors>
    <ignoredError sqref="J12:J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GridLines="0" zoomScalePageLayoutView="0" workbookViewId="0" topLeftCell="A1">
      <selection activeCell="A6" sqref="A6:IV6"/>
    </sheetView>
  </sheetViews>
  <sheetFormatPr defaultColWidth="9.14062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0.28125" style="0" bestFit="1" customWidth="1"/>
    <col min="5" max="5" width="33.140625" style="0" bestFit="1" customWidth="1"/>
    <col min="6" max="6" width="6.57421875" style="0" bestFit="1" customWidth="1"/>
    <col min="7" max="7" width="7.00390625" style="0" bestFit="1" customWidth="1"/>
    <col min="8" max="8" width="10.7109375" style="0" bestFit="1" customWidth="1"/>
    <col min="9" max="9" width="2.57421875" style="0" customWidth="1"/>
    <col min="10" max="10" width="6.57421875" style="0" bestFit="1" customWidth="1"/>
    <col min="11" max="11" width="7.0039062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6.7109375" style="0" customWidth="1"/>
    <col min="16" max="16384" width="11.421875" style="0" customWidth="1"/>
  </cols>
  <sheetData>
    <row r="1" spans="1:16" ht="15" customHeight="1">
      <c r="A1" s="9"/>
      <c r="B1" s="9"/>
      <c r="C1" s="127" t="s">
        <v>53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 customHeight="1">
      <c r="A2" s="9"/>
      <c r="B2" s="9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 customHeight="1">
      <c r="A3" s="9"/>
      <c r="B3" s="9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" customHeight="1">
      <c r="A4" s="9"/>
      <c r="B4" s="9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" customHeight="1">
      <c r="A5" s="9"/>
      <c r="B5" s="9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2:14" ht="15">
      <c r="B6" s="119"/>
      <c r="E6" s="120"/>
      <c r="H6" s="121"/>
      <c r="I6" s="121"/>
      <c r="J6" s="121"/>
      <c r="K6" s="121"/>
      <c r="L6" s="121"/>
      <c r="M6" s="121"/>
      <c r="N6" s="121"/>
    </row>
    <row r="7" spans="1:19" ht="23.25">
      <c r="A7" s="126" t="s">
        <v>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0"/>
      <c r="R7" s="10"/>
      <c r="S7" s="10"/>
    </row>
    <row r="8" ht="15">
      <c r="I8" s="1"/>
    </row>
    <row r="9" spans="1:16" ht="15" customHeight="1">
      <c r="A9" s="123" t="s">
        <v>11</v>
      </c>
      <c r="B9" s="125" t="s">
        <v>0</v>
      </c>
      <c r="C9" s="125" t="s">
        <v>14</v>
      </c>
      <c r="D9" s="125"/>
      <c r="E9" s="125" t="s">
        <v>1</v>
      </c>
      <c r="F9" s="125" t="s">
        <v>2</v>
      </c>
      <c r="G9" s="125"/>
      <c r="H9" s="138"/>
      <c r="I9" s="69"/>
      <c r="J9" s="140" t="s">
        <v>50</v>
      </c>
      <c r="K9" s="125"/>
      <c r="L9" s="132"/>
      <c r="M9" s="53"/>
      <c r="N9" s="140" t="s">
        <v>4</v>
      </c>
      <c r="O9" s="125"/>
      <c r="P9" s="132"/>
    </row>
    <row r="10" spans="1:16" ht="15">
      <c r="A10" s="124"/>
      <c r="B10" s="133"/>
      <c r="C10" s="33" t="s">
        <v>15</v>
      </c>
      <c r="D10" s="33" t="s">
        <v>16</v>
      </c>
      <c r="E10" s="133"/>
      <c r="F10" s="33" t="s">
        <v>5</v>
      </c>
      <c r="G10" s="33" t="s">
        <v>12</v>
      </c>
      <c r="H10" s="90" t="s">
        <v>13</v>
      </c>
      <c r="I10" s="70"/>
      <c r="J10" s="78" t="s">
        <v>5</v>
      </c>
      <c r="K10" s="33" t="s">
        <v>12</v>
      </c>
      <c r="L10" s="14" t="s">
        <v>13</v>
      </c>
      <c r="M10" s="53"/>
      <c r="N10" s="78" t="s">
        <v>5</v>
      </c>
      <c r="O10" s="33" t="s">
        <v>12</v>
      </c>
      <c r="P10" s="14" t="s">
        <v>13</v>
      </c>
    </row>
    <row r="11" spans="1:16" ht="15">
      <c r="A11" s="42">
        <v>1</v>
      </c>
      <c r="B11" s="43">
        <v>39840</v>
      </c>
      <c r="C11" s="42" t="s">
        <v>42</v>
      </c>
      <c r="D11" s="42" t="s">
        <v>43</v>
      </c>
      <c r="E11" s="35" t="s">
        <v>19</v>
      </c>
      <c r="F11" s="44">
        <v>700</v>
      </c>
      <c r="G11" s="36">
        <v>10</v>
      </c>
      <c r="H11" s="36">
        <f aca="true" t="shared" si="0" ref="H11:H19">+F11*G11</f>
        <v>7000</v>
      </c>
      <c r="I11" s="36"/>
      <c r="J11" s="44">
        <f>IF(SUM($F11:F$11)&lt;=$F$33,F11,MAX($F$33-SUM($J10:J$10)))</f>
        <v>700</v>
      </c>
      <c r="K11" s="74">
        <f>IF(J11&lt;&gt;0,G11,0)</f>
        <v>10</v>
      </c>
      <c r="L11" s="75">
        <f>+J11*K11</f>
        <v>7000</v>
      </c>
      <c r="M11" s="76"/>
      <c r="N11" s="72">
        <f>+F11-J11</f>
        <v>0</v>
      </c>
      <c r="O11" s="73">
        <f>IF(N11&lt;&gt;0,G11,0)</f>
        <v>0</v>
      </c>
      <c r="P11" s="73">
        <f>+N11*O11</f>
        <v>0</v>
      </c>
    </row>
    <row r="12" spans="1:16" ht="15" customHeight="1">
      <c r="A12" s="42">
        <v>2</v>
      </c>
      <c r="B12" s="52">
        <v>39837</v>
      </c>
      <c r="C12" s="42" t="s">
        <v>40</v>
      </c>
      <c r="D12" s="42" t="s">
        <v>41</v>
      </c>
      <c r="E12" s="35" t="s">
        <v>18</v>
      </c>
      <c r="F12" s="44">
        <v>500</v>
      </c>
      <c r="G12" s="36">
        <v>10.1</v>
      </c>
      <c r="H12" s="36">
        <f t="shared" si="0"/>
        <v>5050</v>
      </c>
      <c r="I12" s="36"/>
      <c r="J12" s="44">
        <f>IF(SUM($F$11:F12)&lt;=$F$33,F12,MAX($F$33-SUM($J$10:J11)))</f>
        <v>500</v>
      </c>
      <c r="K12" s="74">
        <f aca="true" t="shared" si="1" ref="K12:K19">IF(J12&lt;&gt;0,G12,0)</f>
        <v>10.1</v>
      </c>
      <c r="L12" s="75">
        <f aca="true" t="shared" si="2" ref="L12:L19">+J12*K12</f>
        <v>5050</v>
      </c>
      <c r="M12" s="76"/>
      <c r="N12" s="72">
        <f aca="true" t="shared" si="3" ref="N12:N19">+F12-J12</f>
        <v>0</v>
      </c>
      <c r="O12" s="73">
        <f aca="true" t="shared" si="4" ref="O12:O19">IF(N12&lt;&gt;0,G12,0)</f>
        <v>0</v>
      </c>
      <c r="P12" s="73">
        <f aca="true" t="shared" si="5" ref="P12:P19">+N12*O12</f>
        <v>0</v>
      </c>
    </row>
    <row r="13" spans="1:16" ht="15" customHeight="1">
      <c r="A13" s="42">
        <v>3</v>
      </c>
      <c r="B13" s="52">
        <v>39836</v>
      </c>
      <c r="C13" s="42" t="s">
        <v>38</v>
      </c>
      <c r="D13" s="42" t="s">
        <v>39</v>
      </c>
      <c r="E13" s="35" t="s">
        <v>28</v>
      </c>
      <c r="F13" s="44">
        <v>250</v>
      </c>
      <c r="G13" s="36">
        <v>9.96</v>
      </c>
      <c r="H13" s="36">
        <f t="shared" si="0"/>
        <v>2490</v>
      </c>
      <c r="I13" s="36"/>
      <c r="J13" s="44">
        <f>IF(SUM($F$11:F13)&lt;=$F$33,F13,MAX($F$33-SUM($J$10:J12)))</f>
        <v>250</v>
      </c>
      <c r="K13" s="74">
        <f t="shared" si="1"/>
        <v>9.96</v>
      </c>
      <c r="L13" s="75">
        <f t="shared" si="2"/>
        <v>2490</v>
      </c>
      <c r="M13" s="76"/>
      <c r="N13" s="72">
        <f t="shared" si="3"/>
        <v>0</v>
      </c>
      <c r="O13" s="73">
        <f t="shared" si="4"/>
        <v>0</v>
      </c>
      <c r="P13" s="73">
        <f t="shared" si="5"/>
        <v>0</v>
      </c>
    </row>
    <row r="14" spans="1:16" ht="15" customHeight="1">
      <c r="A14" s="42">
        <v>4</v>
      </c>
      <c r="B14" s="52">
        <v>39833</v>
      </c>
      <c r="C14" s="42" t="s">
        <v>36</v>
      </c>
      <c r="D14" s="42" t="s">
        <v>37</v>
      </c>
      <c r="E14" s="35" t="s">
        <v>48</v>
      </c>
      <c r="F14" s="45">
        <v>-200</v>
      </c>
      <c r="G14" s="46">
        <v>10.2</v>
      </c>
      <c r="H14" s="46">
        <f t="shared" si="0"/>
        <v>-2039.9999999999998</v>
      </c>
      <c r="I14" s="46"/>
      <c r="J14" s="44">
        <f>IF(SUM($F$11:F14)&lt;=$F$33,F14,MAX($F$33-SUM($J$10:J13)))</f>
        <v>-200</v>
      </c>
      <c r="K14" s="74">
        <f t="shared" si="1"/>
        <v>10.2</v>
      </c>
      <c r="L14" s="75">
        <f t="shared" si="2"/>
        <v>-2039.9999999999998</v>
      </c>
      <c r="M14" s="77"/>
      <c r="N14" s="72">
        <f t="shared" si="3"/>
        <v>0</v>
      </c>
      <c r="O14" s="73">
        <f t="shared" si="4"/>
        <v>0</v>
      </c>
      <c r="P14" s="73">
        <f t="shared" si="5"/>
        <v>0</v>
      </c>
    </row>
    <row r="15" spans="1:16" ht="15" customHeight="1">
      <c r="A15" s="42">
        <v>5</v>
      </c>
      <c r="B15" s="52">
        <v>39832</v>
      </c>
      <c r="C15" s="42" t="s">
        <v>36</v>
      </c>
      <c r="D15" s="42" t="s">
        <v>37</v>
      </c>
      <c r="E15" s="35" t="s">
        <v>20</v>
      </c>
      <c r="F15" s="44">
        <v>900</v>
      </c>
      <c r="G15" s="36">
        <v>10.2</v>
      </c>
      <c r="H15" s="36">
        <f t="shared" si="0"/>
        <v>9180</v>
      </c>
      <c r="I15" s="36"/>
      <c r="J15" s="44">
        <f>IF(SUM($F$11:F15)&lt;=$F$33,F15,MAX($F$33-SUM($J$10:J14)))</f>
        <v>900</v>
      </c>
      <c r="K15" s="74">
        <f t="shared" si="1"/>
        <v>10.2</v>
      </c>
      <c r="L15" s="75">
        <f t="shared" si="2"/>
        <v>9180</v>
      </c>
      <c r="M15" s="76"/>
      <c r="N15" s="72">
        <f t="shared" si="3"/>
        <v>0</v>
      </c>
      <c r="O15" s="73">
        <f t="shared" si="4"/>
        <v>0</v>
      </c>
      <c r="P15" s="73">
        <f t="shared" si="5"/>
        <v>0</v>
      </c>
    </row>
    <row r="16" spans="1:16" ht="15" customHeight="1">
      <c r="A16" s="42">
        <v>6</v>
      </c>
      <c r="B16" s="52">
        <v>39823</v>
      </c>
      <c r="C16" s="42" t="s">
        <v>34</v>
      </c>
      <c r="D16" s="42" t="s">
        <v>35</v>
      </c>
      <c r="E16" s="35" t="s">
        <v>19</v>
      </c>
      <c r="F16" s="44">
        <v>700</v>
      </c>
      <c r="G16" s="36">
        <v>9.95</v>
      </c>
      <c r="H16" s="36">
        <f t="shared" si="0"/>
        <v>6964.999999999999</v>
      </c>
      <c r="I16" s="36"/>
      <c r="J16" s="44">
        <f>IF(SUM($F$11:F16)&lt;=$F$33,F16,MAX($F$33-SUM($J$10:J15)))</f>
        <v>700</v>
      </c>
      <c r="K16" s="74">
        <f t="shared" si="1"/>
        <v>9.95</v>
      </c>
      <c r="L16" s="75">
        <f t="shared" si="2"/>
        <v>6964.999999999999</v>
      </c>
      <c r="M16" s="76"/>
      <c r="N16" s="72">
        <f t="shared" si="3"/>
        <v>0</v>
      </c>
      <c r="O16" s="73">
        <f t="shared" si="4"/>
        <v>0</v>
      </c>
      <c r="P16" s="73">
        <f t="shared" si="5"/>
        <v>0</v>
      </c>
    </row>
    <row r="17" spans="1:16" ht="15" customHeight="1">
      <c r="A17" s="42">
        <v>7</v>
      </c>
      <c r="B17" s="52">
        <v>39815</v>
      </c>
      <c r="C17" s="42" t="s">
        <v>31</v>
      </c>
      <c r="D17" s="42" t="s">
        <v>32</v>
      </c>
      <c r="E17" s="35" t="s">
        <v>18</v>
      </c>
      <c r="F17" s="44">
        <v>350</v>
      </c>
      <c r="G17" s="36">
        <v>9.98</v>
      </c>
      <c r="H17" s="36">
        <f t="shared" si="0"/>
        <v>3493</v>
      </c>
      <c r="I17" s="36"/>
      <c r="J17" s="44">
        <f>IF(SUM($F$11:F17)&lt;=$F$33,F17,MAX($F$33-SUM($J$10:J16)))</f>
        <v>290</v>
      </c>
      <c r="K17" s="74">
        <f t="shared" si="1"/>
        <v>9.98</v>
      </c>
      <c r="L17" s="75">
        <f t="shared" si="2"/>
        <v>2894.2000000000003</v>
      </c>
      <c r="M17" s="76"/>
      <c r="N17" s="72">
        <f t="shared" si="3"/>
        <v>60</v>
      </c>
      <c r="O17" s="73">
        <f t="shared" si="4"/>
        <v>9.98</v>
      </c>
      <c r="P17" s="73">
        <f t="shared" si="5"/>
        <v>598.8000000000001</v>
      </c>
    </row>
    <row r="18" spans="1:16" ht="15" customHeight="1">
      <c r="A18" s="42">
        <v>8</v>
      </c>
      <c r="B18" s="52">
        <v>39814</v>
      </c>
      <c r="C18" s="42" t="s">
        <v>29</v>
      </c>
      <c r="D18" s="42" t="s">
        <v>30</v>
      </c>
      <c r="E18" s="35" t="s">
        <v>17</v>
      </c>
      <c r="F18" s="44">
        <v>150</v>
      </c>
      <c r="G18" s="36">
        <v>10.1</v>
      </c>
      <c r="H18" s="36">
        <f t="shared" si="0"/>
        <v>1515</v>
      </c>
      <c r="I18" s="36"/>
      <c r="J18" s="44">
        <f>IF(SUM($F$11:F18)&lt;=$F$33,F18,MAX($F$33-SUM($J$10:J17)))</f>
        <v>0</v>
      </c>
      <c r="K18" s="74">
        <f t="shared" si="1"/>
        <v>0</v>
      </c>
      <c r="L18" s="75">
        <f t="shared" si="2"/>
        <v>0</v>
      </c>
      <c r="M18" s="76"/>
      <c r="N18" s="72">
        <f t="shared" si="3"/>
        <v>150</v>
      </c>
      <c r="O18" s="73">
        <f t="shared" si="4"/>
        <v>10.1</v>
      </c>
      <c r="P18" s="73">
        <f t="shared" si="5"/>
        <v>1515</v>
      </c>
    </row>
    <row r="19" spans="1:16" ht="15" customHeight="1" thickBot="1">
      <c r="A19" s="86">
        <v>9</v>
      </c>
      <c r="B19" s="87">
        <v>39814</v>
      </c>
      <c r="C19" s="88" t="s">
        <v>26</v>
      </c>
      <c r="D19" s="88"/>
      <c r="E19" s="88"/>
      <c r="F19" s="86">
        <v>150</v>
      </c>
      <c r="G19" s="89">
        <v>10</v>
      </c>
      <c r="H19" s="89">
        <f t="shared" si="0"/>
        <v>1500</v>
      </c>
      <c r="I19" s="96"/>
      <c r="J19" s="97">
        <f>IF(SUM($F$11:F19)&lt;=$F$33,F19,MAX($F$33-SUM($J$10:J18)))</f>
        <v>0</v>
      </c>
      <c r="K19" s="98">
        <f t="shared" si="1"/>
        <v>0</v>
      </c>
      <c r="L19" s="99">
        <f t="shared" si="2"/>
        <v>0</v>
      </c>
      <c r="M19" s="76"/>
      <c r="N19" s="100">
        <f t="shared" si="3"/>
        <v>150</v>
      </c>
      <c r="O19" s="101">
        <f t="shared" si="4"/>
        <v>10</v>
      </c>
      <c r="P19" s="101">
        <f t="shared" si="5"/>
        <v>1500</v>
      </c>
    </row>
    <row r="20" spans="1:16" ht="15" customHeight="1">
      <c r="A20" s="141" t="s">
        <v>51</v>
      </c>
      <c r="B20" s="142"/>
      <c r="C20" s="142"/>
      <c r="D20" s="142"/>
      <c r="E20" s="142"/>
      <c r="F20" s="60">
        <f>SUM(F11:F19)</f>
        <v>3500</v>
      </c>
      <c r="G20" s="91"/>
      <c r="H20" s="91">
        <f>SUM(H11:H18)</f>
        <v>33653</v>
      </c>
      <c r="I20" s="3"/>
      <c r="J20" s="60">
        <f>SUM(J11:J19)</f>
        <v>3140</v>
      </c>
      <c r="K20" s="92"/>
      <c r="L20" s="93">
        <f>SUM(L11:L19)</f>
        <v>31539.2</v>
      </c>
      <c r="M20" s="83"/>
      <c r="N20" s="94">
        <f>+F20-J20</f>
        <v>360</v>
      </c>
      <c r="O20" s="95">
        <f>IF(N20&lt;&gt;0,G20,0)</f>
        <v>0</v>
      </c>
      <c r="P20" s="95">
        <f>SUM(P11:P19)</f>
        <v>3613.8</v>
      </c>
    </row>
    <row r="21" spans="1:16" ht="15">
      <c r="A21" s="38"/>
      <c r="B21" s="39"/>
      <c r="C21" s="38"/>
      <c r="D21" s="38"/>
      <c r="E21" s="1"/>
      <c r="F21" s="40"/>
      <c r="G21" s="3"/>
      <c r="H21" s="3"/>
      <c r="I21" s="3"/>
      <c r="J21" s="40"/>
      <c r="K21" s="3"/>
      <c r="L21" s="3"/>
      <c r="M21" s="3"/>
      <c r="N21" s="41"/>
      <c r="O21" s="3"/>
      <c r="P21" s="3"/>
    </row>
    <row r="22" spans="1:16" ht="15">
      <c r="A22" s="123" t="s">
        <v>11</v>
      </c>
      <c r="B22" s="125" t="s">
        <v>0</v>
      </c>
      <c r="C22" s="125" t="s">
        <v>14</v>
      </c>
      <c r="D22" s="125"/>
      <c r="E22" s="125" t="s">
        <v>1</v>
      </c>
      <c r="F22" s="125" t="s">
        <v>3</v>
      </c>
      <c r="G22" s="125"/>
      <c r="H22" s="132"/>
      <c r="I22" s="53"/>
      <c r="J22" s="40"/>
      <c r="K22" s="3"/>
      <c r="L22" s="3"/>
      <c r="M22" s="3"/>
      <c r="N22" s="41"/>
      <c r="O22" s="3"/>
      <c r="P22" s="3"/>
    </row>
    <row r="23" spans="1:16" s="1" customFormat="1" ht="15">
      <c r="A23" s="145"/>
      <c r="B23" s="146"/>
      <c r="C23" s="61" t="s">
        <v>15</v>
      </c>
      <c r="D23" s="61" t="s">
        <v>16</v>
      </c>
      <c r="E23" s="146"/>
      <c r="F23" s="61" t="s">
        <v>5</v>
      </c>
      <c r="G23" s="61" t="s">
        <v>12</v>
      </c>
      <c r="H23" s="62" t="s">
        <v>13</v>
      </c>
      <c r="I23" s="53"/>
      <c r="N23" s="41"/>
      <c r="O23" s="3"/>
      <c r="P23" s="3"/>
    </row>
    <row r="24" spans="1:18" ht="15">
      <c r="A24" s="42">
        <v>10</v>
      </c>
      <c r="B24" s="43">
        <v>39820</v>
      </c>
      <c r="C24" s="42" t="s">
        <v>33</v>
      </c>
      <c r="D24" s="42" t="s">
        <v>33</v>
      </c>
      <c r="E24" s="35" t="s">
        <v>27</v>
      </c>
      <c r="F24" s="44">
        <v>550</v>
      </c>
      <c r="G24" s="36"/>
      <c r="H24" s="36"/>
      <c r="I24" s="3"/>
      <c r="N24" s="41"/>
      <c r="O24" s="3"/>
      <c r="P24" s="3"/>
      <c r="Q24" s="1"/>
      <c r="R24" s="1"/>
    </row>
    <row r="25" spans="1:18" ht="15">
      <c r="A25" s="42">
        <v>11</v>
      </c>
      <c r="B25" s="43">
        <v>39821</v>
      </c>
      <c r="C25" s="42" t="s">
        <v>33</v>
      </c>
      <c r="D25" s="42" t="s">
        <v>46</v>
      </c>
      <c r="E25" s="35" t="s">
        <v>47</v>
      </c>
      <c r="F25" s="45">
        <v>-150</v>
      </c>
      <c r="G25" s="36"/>
      <c r="H25" s="36"/>
      <c r="I25" s="3"/>
      <c r="J25" s="129" t="s">
        <v>49</v>
      </c>
      <c r="K25" s="130"/>
      <c r="L25" s="130"/>
      <c r="M25" s="147">
        <f>+L20-M33</f>
        <v>0</v>
      </c>
      <c r="N25" s="147"/>
      <c r="O25" s="147"/>
      <c r="P25" s="3"/>
      <c r="Q25" s="1"/>
      <c r="R25" s="1"/>
    </row>
    <row r="26" spans="1:18" ht="15">
      <c r="A26" s="42">
        <v>12</v>
      </c>
      <c r="B26" s="43">
        <v>39825</v>
      </c>
      <c r="C26" s="42" t="s">
        <v>33</v>
      </c>
      <c r="D26" s="42" t="s">
        <v>33</v>
      </c>
      <c r="E26" s="35" t="s">
        <v>27</v>
      </c>
      <c r="F26" s="44">
        <v>300</v>
      </c>
      <c r="G26" s="36"/>
      <c r="H26" s="36"/>
      <c r="I26" s="3"/>
      <c r="N26" s="41"/>
      <c r="O26" s="3"/>
      <c r="P26" s="3"/>
      <c r="Q26" s="1"/>
      <c r="R26" s="1"/>
    </row>
    <row r="27" spans="1:18" ht="15">
      <c r="A27" s="42">
        <v>13</v>
      </c>
      <c r="B27" s="43">
        <v>39828</v>
      </c>
      <c r="C27" s="42" t="s">
        <v>33</v>
      </c>
      <c r="D27" s="42" t="s">
        <v>33</v>
      </c>
      <c r="E27" s="35" t="s">
        <v>27</v>
      </c>
      <c r="F27" s="44">
        <v>100</v>
      </c>
      <c r="G27" s="36"/>
      <c r="H27" s="36"/>
      <c r="I27" s="3"/>
      <c r="J27" s="107"/>
      <c r="K27" s="107"/>
      <c r="L27" s="107"/>
      <c r="M27" s="107"/>
      <c r="N27" s="108"/>
      <c r="O27" s="109"/>
      <c r="P27" s="3"/>
      <c r="Q27" s="1"/>
      <c r="R27" s="1"/>
    </row>
    <row r="28" spans="1:18" ht="15">
      <c r="A28" s="42">
        <v>14</v>
      </c>
      <c r="B28" s="43">
        <v>39832</v>
      </c>
      <c r="C28" s="42" t="s">
        <v>33</v>
      </c>
      <c r="D28" s="42" t="s">
        <v>33</v>
      </c>
      <c r="E28" s="35" t="s">
        <v>27</v>
      </c>
      <c r="F28" s="44">
        <v>355</v>
      </c>
      <c r="G28" s="36"/>
      <c r="H28" s="36"/>
      <c r="I28" s="3"/>
      <c r="J28" s="110"/>
      <c r="K28" s="109"/>
      <c r="L28" s="109"/>
      <c r="M28" s="109"/>
      <c r="N28" s="108"/>
      <c r="O28" s="109"/>
      <c r="P28" s="3"/>
      <c r="Q28" s="1"/>
      <c r="R28" s="1"/>
    </row>
    <row r="29" spans="1:18" ht="15">
      <c r="A29" s="42">
        <v>15</v>
      </c>
      <c r="B29" s="43">
        <v>39835</v>
      </c>
      <c r="C29" s="42" t="s">
        <v>33</v>
      </c>
      <c r="D29" s="42" t="s">
        <v>33</v>
      </c>
      <c r="E29" s="35" t="s">
        <v>27</v>
      </c>
      <c r="F29" s="44">
        <v>635</v>
      </c>
      <c r="G29" s="36"/>
      <c r="H29" s="36"/>
      <c r="I29" s="3"/>
      <c r="J29" s="152" t="s">
        <v>6</v>
      </c>
      <c r="K29" s="152"/>
      <c r="L29" s="152"/>
      <c r="M29" s="152"/>
      <c r="N29" s="152"/>
      <c r="O29" s="152"/>
      <c r="P29" s="3"/>
      <c r="Q29" s="1"/>
      <c r="R29" s="1"/>
    </row>
    <row r="30" spans="1:18" ht="15">
      <c r="A30" s="42">
        <v>16</v>
      </c>
      <c r="B30" s="43">
        <v>39840</v>
      </c>
      <c r="C30" s="42" t="s">
        <v>33</v>
      </c>
      <c r="D30" s="42" t="s">
        <v>33</v>
      </c>
      <c r="E30" s="35" t="s">
        <v>27</v>
      </c>
      <c r="F30" s="44">
        <v>600</v>
      </c>
      <c r="G30" s="36"/>
      <c r="H30" s="36"/>
      <c r="I30" s="3"/>
      <c r="J30" s="149" t="s">
        <v>7</v>
      </c>
      <c r="K30" s="149"/>
      <c r="L30" s="149"/>
      <c r="M30" s="150">
        <f>+H19</f>
        <v>1500</v>
      </c>
      <c r="N30" s="150"/>
      <c r="O30" s="150"/>
      <c r="P30" s="3"/>
      <c r="Q30" s="1"/>
      <c r="R30" s="1"/>
    </row>
    <row r="31" spans="1:18" ht="15">
      <c r="A31" s="42">
        <v>17</v>
      </c>
      <c r="B31" s="43">
        <v>39843</v>
      </c>
      <c r="C31" s="42" t="s">
        <v>33</v>
      </c>
      <c r="D31" s="42" t="s">
        <v>33</v>
      </c>
      <c r="E31" s="35" t="s">
        <v>27</v>
      </c>
      <c r="F31" s="44">
        <v>400</v>
      </c>
      <c r="G31" s="36"/>
      <c r="H31" s="36"/>
      <c r="I31" s="3"/>
      <c r="J31" s="149" t="s">
        <v>21</v>
      </c>
      <c r="K31" s="149"/>
      <c r="L31" s="149"/>
      <c r="M31" s="150">
        <f>+H20</f>
        <v>33653</v>
      </c>
      <c r="N31" s="150"/>
      <c r="O31" s="150"/>
      <c r="P31" s="3"/>
      <c r="Q31" s="1"/>
      <c r="R31" s="1"/>
    </row>
    <row r="32" spans="1:18" ht="15.75" thickBot="1">
      <c r="A32" s="55">
        <v>18</v>
      </c>
      <c r="B32" s="56">
        <v>39844</v>
      </c>
      <c r="C32" s="55" t="s">
        <v>33</v>
      </c>
      <c r="D32" s="55" t="s">
        <v>33</v>
      </c>
      <c r="E32" s="57" t="s">
        <v>27</v>
      </c>
      <c r="F32" s="58">
        <v>350</v>
      </c>
      <c r="G32" s="59"/>
      <c r="H32" s="59"/>
      <c r="I32" s="3"/>
      <c r="J32" s="149" t="s">
        <v>8</v>
      </c>
      <c r="K32" s="149"/>
      <c r="L32" s="149"/>
      <c r="M32" s="150">
        <f>-P20</f>
        <v>-3613.8</v>
      </c>
      <c r="N32" s="150"/>
      <c r="O32" s="150"/>
      <c r="P32" s="3"/>
      <c r="Q32" s="1"/>
      <c r="R32" s="1"/>
    </row>
    <row r="33" spans="1:18" ht="15.75" thickTop="1">
      <c r="A33" s="141" t="s">
        <v>52</v>
      </c>
      <c r="B33" s="142"/>
      <c r="C33" s="142"/>
      <c r="D33" s="142"/>
      <c r="E33" s="142"/>
      <c r="F33" s="60">
        <f>SUM(F24:F32)</f>
        <v>3140</v>
      </c>
      <c r="G33" s="8"/>
      <c r="H33" s="8"/>
      <c r="I33" s="3"/>
      <c r="J33" s="149" t="s">
        <v>9</v>
      </c>
      <c r="K33" s="149"/>
      <c r="L33" s="149"/>
      <c r="M33" s="151">
        <f>+M30+M31+M32</f>
        <v>31539.2</v>
      </c>
      <c r="N33" s="151"/>
      <c r="O33" s="151"/>
      <c r="P33" s="3"/>
      <c r="Q33" s="1"/>
      <c r="R33" s="1"/>
    </row>
    <row r="34" spans="1:16" ht="15">
      <c r="A34" s="38"/>
      <c r="B34" s="39"/>
      <c r="C34" s="38"/>
      <c r="D34" s="38"/>
      <c r="E34" s="1"/>
      <c r="F34" s="40"/>
      <c r="G34" s="3"/>
      <c r="H34" s="3"/>
      <c r="I34" s="3"/>
      <c r="J34" s="111"/>
      <c r="K34" s="109"/>
      <c r="L34" s="109"/>
      <c r="M34" s="109"/>
      <c r="N34" s="108"/>
      <c r="O34" s="109"/>
      <c r="P34" s="3"/>
    </row>
  </sheetData>
  <sheetProtection/>
  <mergeCells count="27">
    <mergeCell ref="C1:P5"/>
    <mergeCell ref="A7:P7"/>
    <mergeCell ref="A9:A10"/>
    <mergeCell ref="B9:B10"/>
    <mergeCell ref="C9:D9"/>
    <mergeCell ref="E9:E10"/>
    <mergeCell ref="F9:H9"/>
    <mergeCell ref="J9:L9"/>
    <mergeCell ref="N9:P9"/>
    <mergeCell ref="J31:L31"/>
    <mergeCell ref="M31:O31"/>
    <mergeCell ref="A20:E20"/>
    <mergeCell ref="A22:A23"/>
    <mergeCell ref="B22:B23"/>
    <mergeCell ref="C22:D22"/>
    <mergeCell ref="E22:E23"/>
    <mergeCell ref="F22:H22"/>
    <mergeCell ref="J32:L32"/>
    <mergeCell ref="M32:O32"/>
    <mergeCell ref="A33:E33"/>
    <mergeCell ref="J33:L33"/>
    <mergeCell ref="M33:O33"/>
    <mergeCell ref="J25:L25"/>
    <mergeCell ref="M25:O25"/>
    <mergeCell ref="J29:O29"/>
    <mergeCell ref="J30:L30"/>
    <mergeCell ref="M30:O30"/>
  </mergeCells>
  <printOptions/>
  <pageMargins left="0.7" right="0.7" top="0.75" bottom="0.75" header="0.3" footer="0.3"/>
  <pageSetup horizontalDpi="600" verticalDpi="600" orientation="portrait" paperSize="9" r:id="rId1"/>
  <ignoredErrors>
    <ignoredError sqref="J12:J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5.421875" style="0" customWidth="1"/>
    <col min="2" max="2" width="7.140625" style="0" bestFit="1" customWidth="1"/>
    <col min="3" max="3" width="8.421875" style="0" customWidth="1"/>
    <col min="4" max="4" width="11.00390625" style="0" customWidth="1"/>
    <col min="5" max="5" width="14.421875" style="0" customWidth="1"/>
    <col min="6" max="8" width="13.421875" style="0" customWidth="1"/>
    <col min="9" max="9" width="2.57421875" style="0" customWidth="1"/>
    <col min="10" max="10" width="10.00390625" style="0" bestFit="1" customWidth="1"/>
    <col min="11" max="11" width="7.00390625" style="0" bestFit="1" customWidth="1"/>
    <col min="12" max="12" width="10.7109375" style="0" bestFit="1" customWidth="1"/>
    <col min="13" max="13" width="2.57421875" style="0" customWidth="1"/>
    <col min="14" max="14" width="7.00390625" style="0" bestFit="1" customWidth="1"/>
    <col min="15" max="15" width="5.421875" style="0" customWidth="1"/>
    <col min="16" max="16" width="10.7109375" style="0" customWidth="1"/>
    <col min="17" max="16384" width="11.421875" style="0" customWidth="1"/>
  </cols>
  <sheetData>
    <row r="1" spans="1:16" ht="15" customHeight="1">
      <c r="A1" s="9"/>
      <c r="B1" s="9"/>
      <c r="C1" s="156" t="s">
        <v>56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 customHeight="1">
      <c r="A2" s="9"/>
      <c r="B2" s="9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 customHeight="1">
      <c r="A3" s="9"/>
      <c r="B3" s="9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5" customHeight="1">
      <c r="A4" s="9"/>
      <c r="B4" s="9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5" customHeight="1">
      <c r="A5" s="9"/>
      <c r="B5" s="9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2:14" ht="15">
      <c r="B6" s="119"/>
      <c r="F6" s="120"/>
      <c r="H6" s="121"/>
      <c r="I6" s="121"/>
      <c r="J6" s="121"/>
      <c r="K6" s="121"/>
      <c r="L6" s="121"/>
      <c r="M6" s="121"/>
      <c r="N6" s="121"/>
    </row>
    <row r="7" spans="1:19" ht="23.25">
      <c r="A7" s="126" t="s">
        <v>54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0"/>
      <c r="R7" s="10"/>
      <c r="S7" s="10"/>
    </row>
    <row r="8" ht="15">
      <c r="I8" s="1"/>
    </row>
    <row r="11" spans="4:8" ht="19.5" thickBot="1">
      <c r="D11" s="160" t="s">
        <v>55</v>
      </c>
      <c r="E11" s="161"/>
      <c r="F11" s="161"/>
      <c r="G11" s="161"/>
      <c r="H11" s="162"/>
    </row>
    <row r="12" spans="4:8" ht="15" customHeight="1" thickBot="1" thickTop="1">
      <c r="D12" s="157" t="s">
        <v>24</v>
      </c>
      <c r="E12" s="158"/>
      <c r="F12" s="103" t="s">
        <v>22</v>
      </c>
      <c r="G12" s="103" t="s">
        <v>25</v>
      </c>
      <c r="H12" s="104" t="s">
        <v>23</v>
      </c>
    </row>
    <row r="13" spans="4:8" ht="15.75" thickTop="1">
      <c r="D13" s="159" t="s">
        <v>7</v>
      </c>
      <c r="E13" s="159"/>
      <c r="F13" s="102">
        <f>+'Metodo PEPS'!H11</f>
        <v>1500</v>
      </c>
      <c r="G13" s="102">
        <f>+'Metodo Promedio'!N11</f>
        <v>1500</v>
      </c>
      <c r="H13" s="102">
        <f>+'Metodo UEPS'!H19</f>
        <v>1500</v>
      </c>
    </row>
    <row r="14" spans="4:8" ht="15">
      <c r="D14" s="153" t="s">
        <v>21</v>
      </c>
      <c r="E14" s="153"/>
      <c r="F14" s="36">
        <f>+'Metodo PEPS'!H20</f>
        <v>33653</v>
      </c>
      <c r="G14" s="36">
        <f>+'Metodo Promedio'!H30</f>
        <v>33653</v>
      </c>
      <c r="H14" s="36">
        <f>+'Metodo UEPS'!H20</f>
        <v>33653</v>
      </c>
    </row>
    <row r="15" spans="4:8" ht="15">
      <c r="D15" s="153" t="s">
        <v>8</v>
      </c>
      <c r="E15" s="153"/>
      <c r="F15" s="36">
        <f>-'Metodo PEPS'!P20</f>
        <v>-3600</v>
      </c>
      <c r="G15" s="36">
        <f>-'Metodo Promedio'!N30</f>
        <v>-3610.37015840939</v>
      </c>
      <c r="H15" s="36">
        <f>+'Metodo UEPS'!P20</f>
        <v>3613.8</v>
      </c>
    </row>
    <row r="16" spans="4:8" ht="15">
      <c r="D16" s="154" t="s">
        <v>9</v>
      </c>
      <c r="E16" s="155"/>
      <c r="F16" s="105">
        <f>+F13+F14+F15</f>
        <v>31553</v>
      </c>
      <c r="G16" s="105">
        <f>+G13+G14+G15</f>
        <v>31542.62984159061</v>
      </c>
      <c r="H16" s="106">
        <f>+H13+H14+H15</f>
        <v>38766.8</v>
      </c>
    </row>
    <row r="17" ht="15">
      <c r="J17" s="4"/>
    </row>
  </sheetData>
  <sheetProtection/>
  <mergeCells count="8">
    <mergeCell ref="D15:E15"/>
    <mergeCell ref="D16:E16"/>
    <mergeCell ref="C1:P5"/>
    <mergeCell ref="A7:P7"/>
    <mergeCell ref="D12:E12"/>
    <mergeCell ref="D13:E13"/>
    <mergeCell ref="D14:E14"/>
    <mergeCell ref="D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Brandon Gonzalez</cp:lastModifiedBy>
  <dcterms:created xsi:type="dcterms:W3CDTF">2009-09-28T06:20:29Z</dcterms:created>
  <dcterms:modified xsi:type="dcterms:W3CDTF">2023-01-21T23:13:54Z</dcterms:modified>
  <cp:category/>
  <cp:version/>
  <cp:contentType/>
  <cp:contentStatus/>
</cp:coreProperties>
</file>